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5" windowWidth="16095" windowHeight="9660"/>
  </bookViews>
  <sheets>
    <sheet name="Characteristics" sheetId="1" r:id="rId1"/>
    <sheet name="Performance" sheetId="2" r:id="rId2"/>
    <sheet name="Notes" sheetId="3" r:id="rId3"/>
  </sheets>
  <definedNames>
    <definedName name="_xlnm._FilterDatabase" localSheetId="0" hidden="1">Characteristics!$A$1:$O$371</definedName>
    <definedName name="_xlnm._FilterDatabase" localSheetId="1" hidden="1">Performance!$A$1:$I$371</definedName>
  </definedNames>
  <calcPr calcId="125725"/>
</workbook>
</file>

<file path=xl/calcChain.xml><?xml version="1.0" encoding="utf-8"?>
<calcChain xmlns="http://schemas.openxmlformats.org/spreadsheetml/2006/main">
  <c r="B371" i="2"/>
  <c r="B370"/>
  <c r="B369"/>
  <c r="B368"/>
  <c r="B367"/>
  <c r="B366"/>
  <c r="B365"/>
  <c r="B364"/>
  <c r="B363"/>
  <c r="B362"/>
  <c r="B361"/>
  <c r="B360"/>
  <c r="B359"/>
  <c r="B358"/>
  <c r="B357"/>
  <c r="B356"/>
  <c r="B355"/>
  <c r="B354"/>
  <c r="B353"/>
  <c r="B352"/>
  <c r="B351"/>
  <c r="B350"/>
  <c r="B349"/>
  <c r="B348"/>
  <c r="B347"/>
  <c r="B346"/>
  <c r="B345"/>
  <c r="B344"/>
  <c r="B343"/>
  <c r="B342"/>
  <c r="B341"/>
  <c r="B340"/>
  <c r="B339"/>
  <c r="B338"/>
  <c r="B337"/>
  <c r="B336"/>
  <c r="B335"/>
  <c r="B334"/>
  <c r="B333"/>
  <c r="B332"/>
  <c r="B331"/>
  <c r="B330"/>
  <c r="B329"/>
  <c r="B328"/>
  <c r="B327"/>
  <c r="B326"/>
  <c r="B325"/>
  <c r="B324"/>
  <c r="B323"/>
  <c r="B322"/>
  <c r="B321"/>
  <c r="B320"/>
  <c r="B319"/>
  <c r="B318"/>
  <c r="B317"/>
  <c r="B316"/>
  <c r="B315"/>
  <c r="B314"/>
  <c r="B313"/>
  <c r="B312"/>
  <c r="B311"/>
  <c r="B310"/>
  <c r="B309"/>
  <c r="B308"/>
  <c r="B307"/>
  <c r="B306"/>
  <c r="B305"/>
  <c r="B304"/>
  <c r="B303"/>
  <c r="B302"/>
  <c r="B301"/>
  <c r="B300"/>
  <c r="B299"/>
  <c r="B298"/>
  <c r="B297"/>
  <c r="B296"/>
  <c r="B295"/>
  <c r="B294"/>
  <c r="B293"/>
  <c r="B292"/>
  <c r="B291"/>
  <c r="B290"/>
  <c r="B289"/>
  <c r="B288"/>
  <c r="B287"/>
  <c r="B286"/>
  <c r="B285"/>
  <c r="B284"/>
  <c r="B283"/>
  <c r="B282"/>
  <c r="B281"/>
  <c r="B280"/>
  <c r="B279"/>
  <c r="B278"/>
  <c r="B277"/>
  <c r="B276"/>
  <c r="B275"/>
  <c r="B274"/>
  <c r="B273"/>
  <c r="B272"/>
  <c r="B271"/>
  <c r="B270"/>
  <c r="B269"/>
  <c r="B268"/>
  <c r="B267"/>
  <c r="B266"/>
  <c r="B265"/>
  <c r="B264"/>
  <c r="B263"/>
  <c r="B262"/>
  <c r="B261"/>
  <c r="B260"/>
  <c r="B259"/>
  <c r="B258"/>
  <c r="B257"/>
  <c r="B256"/>
  <c r="B255"/>
  <c r="B254"/>
  <c r="B253"/>
  <c r="B252"/>
  <c r="B251"/>
  <c r="B250"/>
  <c r="B249"/>
  <c r="B248"/>
  <c r="B247"/>
  <c r="B246"/>
  <c r="B245"/>
  <c r="B244"/>
  <c r="B243"/>
  <c r="B242"/>
  <c r="B241"/>
  <c r="B240"/>
  <c r="B239"/>
  <c r="B238"/>
  <c r="B237"/>
  <c r="B236"/>
  <c r="B235"/>
  <c r="B234"/>
  <c r="B233"/>
  <c r="B232"/>
  <c r="B231"/>
  <c r="B230"/>
  <c r="B229"/>
  <c r="B228"/>
  <c r="B227"/>
  <c r="B226"/>
  <c r="B225"/>
  <c r="B224"/>
  <c r="B223"/>
  <c r="B222"/>
  <c r="B221"/>
  <c r="B220"/>
  <c r="B219"/>
  <c r="B218"/>
  <c r="B217"/>
  <c r="B216"/>
  <c r="B215"/>
  <c r="B214"/>
  <c r="B213"/>
  <c r="B212"/>
  <c r="B211"/>
  <c r="B210"/>
  <c r="B209"/>
  <c r="B208"/>
  <c r="B207"/>
  <c r="B206"/>
  <c r="B205"/>
  <c r="B204"/>
  <c r="B203"/>
  <c r="B202"/>
  <c r="B201"/>
  <c r="B200"/>
  <c r="B199"/>
  <c r="B198"/>
  <c r="B197"/>
  <c r="B196"/>
  <c r="B195"/>
  <c r="B194"/>
  <c r="B193"/>
  <c r="B192"/>
  <c r="B191"/>
  <c r="B190"/>
  <c r="B189"/>
  <c r="B188"/>
  <c r="B187"/>
  <c r="B186"/>
  <c r="B185"/>
  <c r="B184"/>
  <c r="B183"/>
  <c r="B182"/>
  <c r="B181"/>
  <c r="B180"/>
  <c r="B179"/>
  <c r="B178"/>
  <c r="B177"/>
  <c r="B176"/>
  <c r="B175"/>
  <c r="B174"/>
  <c r="B173"/>
  <c r="B172"/>
  <c r="B171"/>
  <c r="B170"/>
  <c r="B169"/>
  <c r="B168"/>
  <c r="B167"/>
  <c r="B166"/>
  <c r="B165"/>
  <c r="B164"/>
  <c r="B163"/>
  <c r="B162"/>
  <c r="B161"/>
  <c r="B160"/>
  <c r="B159"/>
  <c r="B158"/>
  <c r="B157"/>
  <c r="B156"/>
  <c r="B155"/>
  <c r="B154"/>
  <c r="B153"/>
  <c r="B152"/>
  <c r="B151"/>
  <c r="B150"/>
  <c r="B149"/>
  <c r="B148"/>
  <c r="B147"/>
  <c r="B146"/>
  <c r="B145"/>
  <c r="B144"/>
  <c r="B143"/>
  <c r="B142"/>
  <c r="B141"/>
  <c r="B140"/>
  <c r="B139"/>
  <c r="B138"/>
  <c r="B137"/>
  <c r="B136"/>
  <c r="B135"/>
  <c r="B134"/>
  <c r="B133"/>
  <c r="B132"/>
  <c r="B131"/>
  <c r="B130"/>
  <c r="B129"/>
  <c r="B128"/>
  <c r="B127"/>
  <c r="B126"/>
  <c r="B125"/>
  <c r="B124"/>
  <c r="B123"/>
  <c r="B122"/>
  <c r="B121"/>
  <c r="B120"/>
  <c r="B119"/>
  <c r="B118"/>
  <c r="B117"/>
  <c r="B116"/>
  <c r="B115"/>
  <c r="B114"/>
  <c r="B113"/>
  <c r="B112"/>
  <c r="B111"/>
  <c r="B110"/>
  <c r="B109"/>
  <c r="B108"/>
  <c r="B107"/>
  <c r="B106"/>
  <c r="B105"/>
  <c r="B104"/>
  <c r="B103"/>
  <c r="B102"/>
  <c r="B101"/>
  <c r="B100"/>
  <c r="B99"/>
  <c r="B98"/>
  <c r="B97"/>
  <c r="B96"/>
  <c r="B95"/>
  <c r="B94"/>
  <c r="B93"/>
  <c r="B92"/>
  <c r="B91"/>
  <c r="B90"/>
  <c r="B89"/>
  <c r="B88"/>
  <c r="B87"/>
  <c r="B86"/>
  <c r="B85"/>
  <c r="B84"/>
  <c r="B83"/>
  <c r="B82"/>
  <c r="B81"/>
  <c r="B80"/>
  <c r="B79"/>
  <c r="B78"/>
  <c r="B77"/>
  <c r="B76"/>
  <c r="B75"/>
  <c r="B74"/>
  <c r="B73"/>
  <c r="B72"/>
  <c r="B71"/>
  <c r="B70"/>
  <c r="B69"/>
  <c r="B68"/>
  <c r="B67"/>
  <c r="B66"/>
  <c r="B65"/>
  <c r="B64"/>
  <c r="B63"/>
  <c r="B62"/>
  <c r="B61"/>
  <c r="B60"/>
  <c r="B59"/>
  <c r="B58"/>
  <c r="B57"/>
  <c r="B56"/>
  <c r="B55"/>
  <c r="B54"/>
  <c r="B53"/>
  <c r="B52"/>
  <c r="B51"/>
  <c r="B50"/>
  <c r="B49"/>
  <c r="B48"/>
  <c r="B47"/>
  <c r="B46"/>
  <c r="B45"/>
  <c r="B44"/>
  <c r="B43"/>
  <c r="B42"/>
  <c r="B41"/>
  <c r="B40"/>
  <c r="B39"/>
  <c r="B38"/>
  <c r="B37"/>
  <c r="B36"/>
  <c r="B35"/>
  <c r="B34"/>
  <c r="B33"/>
  <c r="B32"/>
  <c r="B31"/>
  <c r="B30"/>
  <c r="B29"/>
  <c r="B28"/>
  <c r="B27"/>
  <c r="B26"/>
  <c r="B25"/>
  <c r="B24"/>
  <c r="B23"/>
  <c r="B22"/>
  <c r="B21"/>
  <c r="B20"/>
  <c r="B19"/>
  <c r="B18"/>
  <c r="B17"/>
  <c r="B16"/>
  <c r="B15"/>
  <c r="B14"/>
  <c r="B13"/>
  <c r="B12"/>
  <c r="B11"/>
  <c r="B10"/>
  <c r="B9"/>
  <c r="B8"/>
  <c r="B7"/>
  <c r="B6"/>
  <c r="B5"/>
  <c r="B4"/>
  <c r="B3"/>
  <c r="B2"/>
  <c r="B258" i="1"/>
  <c r="B303"/>
  <c r="B96"/>
  <c r="B138"/>
  <c r="B175"/>
  <c r="B370"/>
  <c r="B141"/>
  <c r="B50"/>
  <c r="B361"/>
  <c r="B26"/>
  <c r="B207"/>
  <c r="B281"/>
  <c r="B256"/>
  <c r="B306"/>
  <c r="B27"/>
  <c r="B123"/>
  <c r="B247"/>
  <c r="B18"/>
  <c r="B11"/>
  <c r="B131"/>
  <c r="B112"/>
  <c r="B8"/>
  <c r="B347"/>
  <c r="B14"/>
  <c r="B19"/>
  <c r="B109"/>
  <c r="B172"/>
  <c r="B100"/>
  <c r="B301"/>
  <c r="B186"/>
  <c r="B16"/>
  <c r="B68"/>
  <c r="B57"/>
  <c r="B78"/>
  <c r="B164"/>
  <c r="B310"/>
  <c r="B275"/>
  <c r="B126"/>
  <c r="B267"/>
  <c r="B219"/>
  <c r="B49"/>
  <c r="B216"/>
  <c r="B41"/>
  <c r="B350"/>
  <c r="B157"/>
  <c r="B282"/>
  <c r="B106"/>
  <c r="B213"/>
  <c r="B180"/>
  <c r="B166"/>
  <c r="B174"/>
  <c r="B10"/>
  <c r="B257"/>
  <c r="B6"/>
  <c r="B176"/>
  <c r="B325"/>
  <c r="B244"/>
  <c r="B212"/>
  <c r="B340"/>
  <c r="B66"/>
  <c r="B64"/>
  <c r="B105"/>
  <c r="B328"/>
  <c r="B45"/>
  <c r="B202"/>
  <c r="B127"/>
  <c r="B163"/>
  <c r="B65"/>
  <c r="B104"/>
  <c r="B327"/>
  <c r="B98"/>
  <c r="B79"/>
  <c r="B167"/>
  <c r="B99"/>
  <c r="B235"/>
  <c r="B314"/>
  <c r="B239"/>
  <c r="B177"/>
  <c r="B322"/>
  <c r="B114"/>
  <c r="B286"/>
  <c r="B288"/>
  <c r="B278"/>
  <c r="B230"/>
  <c r="B59"/>
  <c r="B51"/>
  <c r="B215"/>
  <c r="B291"/>
  <c r="B277"/>
  <c r="B333"/>
  <c r="B241"/>
  <c r="B363"/>
  <c r="B272"/>
  <c r="B351"/>
  <c r="B348"/>
  <c r="B248"/>
  <c r="B185"/>
  <c r="B318"/>
  <c r="B184"/>
  <c r="B92"/>
  <c r="B149"/>
  <c r="B200"/>
  <c r="B12"/>
  <c r="B279"/>
  <c r="B136"/>
  <c r="B236"/>
  <c r="B89"/>
  <c r="B320"/>
  <c r="B55"/>
  <c r="B35"/>
  <c r="B28"/>
  <c r="B145"/>
  <c r="B83"/>
  <c r="B203"/>
  <c r="B193"/>
  <c r="B95"/>
  <c r="B73"/>
  <c r="B37"/>
  <c r="B9"/>
  <c r="B159"/>
  <c r="B85"/>
  <c r="B103"/>
  <c r="B154"/>
  <c r="B87"/>
  <c r="B62"/>
  <c r="B250"/>
  <c r="B44"/>
  <c r="B32"/>
  <c r="B71"/>
  <c r="B48"/>
  <c r="B13"/>
  <c r="B75"/>
  <c r="B300"/>
  <c r="B263"/>
  <c r="B20"/>
  <c r="B285"/>
  <c r="B31"/>
  <c r="B321"/>
  <c r="B148"/>
  <c r="B119"/>
  <c r="B67"/>
  <c r="B110"/>
  <c r="B201"/>
  <c r="B313"/>
  <c r="B317"/>
  <c r="B342"/>
  <c r="B280"/>
  <c r="B297"/>
  <c r="B165"/>
  <c r="B349"/>
  <c r="B3"/>
  <c r="B227"/>
  <c r="B4"/>
  <c r="B21"/>
  <c r="B290"/>
  <c r="B359"/>
  <c r="B228"/>
  <c r="B240"/>
  <c r="B234"/>
  <c r="B142"/>
  <c r="B108"/>
  <c r="B61"/>
  <c r="B331"/>
  <c r="B364"/>
  <c r="B268"/>
  <c r="B218"/>
  <c r="B183"/>
  <c r="B111"/>
  <c r="B86"/>
  <c r="B362"/>
  <c r="B23"/>
  <c r="B232"/>
  <c r="B118"/>
  <c r="B338"/>
  <c r="B2"/>
  <c r="B190"/>
  <c r="B339"/>
  <c r="B214"/>
  <c r="B271"/>
  <c r="B211"/>
  <c r="B346"/>
  <c r="B22"/>
  <c r="B283"/>
  <c r="B150"/>
  <c r="B273"/>
  <c r="B352"/>
  <c r="B337"/>
  <c r="B24"/>
  <c r="B223"/>
  <c r="B143"/>
  <c r="B88"/>
  <c r="B307"/>
  <c r="B7"/>
  <c r="B33"/>
  <c r="B97"/>
  <c r="B132"/>
  <c r="B151"/>
  <c r="B298"/>
  <c r="B242"/>
  <c r="B335"/>
  <c r="B217"/>
  <c r="B294"/>
  <c r="B356"/>
  <c r="B153"/>
  <c r="B182"/>
  <c r="B84"/>
  <c r="B323"/>
  <c r="B152"/>
  <c r="B199"/>
  <c r="B29"/>
  <c r="B295"/>
  <c r="B360"/>
  <c r="B249"/>
  <c r="B274"/>
  <c r="B160"/>
  <c r="B90"/>
  <c r="B222"/>
  <c r="B169"/>
  <c r="B40"/>
  <c r="B113"/>
  <c r="B308"/>
  <c r="B237"/>
  <c r="B129"/>
  <c r="B371"/>
  <c r="B158"/>
  <c r="B34"/>
  <c r="B70"/>
  <c r="B15"/>
  <c r="B332"/>
  <c r="B125"/>
  <c r="B155"/>
  <c r="B210"/>
  <c r="B259"/>
  <c r="B116"/>
  <c r="B344"/>
  <c r="B302"/>
  <c r="B341"/>
  <c r="B205"/>
  <c r="B225"/>
  <c r="B319"/>
  <c r="B43"/>
  <c r="B140"/>
  <c r="B25"/>
  <c r="B124"/>
  <c r="B17"/>
  <c r="B30"/>
  <c r="B46"/>
  <c r="B261"/>
  <c r="B334"/>
  <c r="B343"/>
  <c r="B93"/>
  <c r="B178"/>
  <c r="B77"/>
  <c r="B76"/>
  <c r="B315"/>
  <c r="B72"/>
  <c r="B194"/>
  <c r="B229"/>
  <c r="B53"/>
  <c r="B102"/>
  <c r="B246"/>
  <c r="B5"/>
  <c r="B368"/>
  <c r="B191"/>
  <c r="B81"/>
  <c r="B170"/>
  <c r="B56"/>
  <c r="B134"/>
  <c r="B120"/>
  <c r="B305"/>
  <c r="B63"/>
  <c r="B101"/>
  <c r="B292"/>
  <c r="B36"/>
  <c r="B226"/>
  <c r="B188"/>
  <c r="B369"/>
  <c r="B293"/>
  <c r="B269"/>
  <c r="B82"/>
  <c r="B60"/>
  <c r="B52"/>
  <c r="B329"/>
  <c r="B289"/>
  <c r="B304"/>
  <c r="B139"/>
  <c r="B276"/>
  <c r="B357"/>
  <c r="B146"/>
  <c r="B133"/>
  <c r="B168"/>
  <c r="B208"/>
  <c r="B130"/>
  <c r="B144"/>
  <c r="B181"/>
  <c r="B161"/>
  <c r="B196"/>
  <c r="B366"/>
  <c r="B367"/>
  <c r="B312"/>
  <c r="B197"/>
  <c r="B122"/>
  <c r="B173"/>
  <c r="B128"/>
  <c r="B270"/>
  <c r="B251"/>
  <c r="B284"/>
  <c r="B265"/>
  <c r="B221"/>
  <c r="B358"/>
  <c r="B192"/>
  <c r="B162"/>
  <c r="B345"/>
  <c r="B264"/>
  <c r="B231"/>
  <c r="B198"/>
  <c r="B115"/>
  <c r="B69"/>
  <c r="B353"/>
  <c r="B135"/>
  <c r="B74"/>
  <c r="B107"/>
  <c r="B42"/>
  <c r="B47"/>
  <c r="B287"/>
  <c r="B365"/>
  <c r="B38"/>
  <c r="B243"/>
  <c r="B117"/>
  <c r="B254"/>
  <c r="B253"/>
  <c r="B260"/>
  <c r="B187"/>
  <c r="B156"/>
  <c r="B54"/>
  <c r="B137"/>
  <c r="B299"/>
  <c r="B296"/>
  <c r="B189"/>
  <c r="B309"/>
  <c r="B39"/>
  <c r="B80"/>
  <c r="B206"/>
  <c r="B324"/>
  <c r="B195"/>
  <c r="B255"/>
  <c r="B355"/>
  <c r="B336"/>
  <c r="B245"/>
  <c r="B266"/>
  <c r="B91"/>
  <c r="B121"/>
  <c r="B58"/>
  <c r="B354"/>
  <c r="B316"/>
  <c r="B179"/>
  <c r="B330"/>
  <c r="B224"/>
  <c r="B147"/>
  <c r="B171"/>
  <c r="B220"/>
  <c r="B94"/>
  <c r="B326"/>
  <c r="B209"/>
  <c r="B204"/>
  <c r="B252"/>
  <c r="B262"/>
  <c r="B233"/>
  <c r="B238"/>
  <c r="B311"/>
</calcChain>
</file>

<file path=xl/sharedStrings.xml><?xml version="1.0" encoding="utf-8"?>
<sst xmlns="http://schemas.openxmlformats.org/spreadsheetml/2006/main" count="1267" uniqueCount="406">
  <si>
    <t>Name</t>
  </si>
  <si>
    <t>Sector</t>
  </si>
  <si>
    <t>Price</t>
  </si>
  <si>
    <t>Dividend Yield</t>
  </si>
  <si>
    <t>1-Year Dividend Growth</t>
  </si>
  <si>
    <t>5-Year Dividend Growth (Annualized)</t>
  </si>
  <si>
    <t>Dividends Per Share (TTM)</t>
  </si>
  <si>
    <t>Market Cap ($M)</t>
  </si>
  <si>
    <t>Trailing P/E Ratio</t>
  </si>
  <si>
    <t>Payout Ratio</t>
  </si>
  <si>
    <t>Beta</t>
  </si>
  <si>
    <t>52-Week High</t>
  </si>
  <si>
    <t>52-Week Low</t>
  </si>
  <si>
    <t>Ticker</t>
  </si>
  <si>
    <t>ABC</t>
  </si>
  <si>
    <t>ABM</t>
  </si>
  <si>
    <t>ABT</t>
  </si>
  <si>
    <t>ACN</t>
  </si>
  <si>
    <t>ADI</t>
  </si>
  <si>
    <t>ADM</t>
  </si>
  <si>
    <t>ADP</t>
  </si>
  <si>
    <t>AEL</t>
  </si>
  <si>
    <t>AEP</t>
  </si>
  <si>
    <t>AFG</t>
  </si>
  <si>
    <t>AFL</t>
  </si>
  <si>
    <t>AGM</t>
  </si>
  <si>
    <t>AGO</t>
  </si>
  <si>
    <t>AIT</t>
  </si>
  <si>
    <t>AIZ</t>
  </si>
  <si>
    <t>AJG</t>
  </si>
  <si>
    <t>ALB</t>
  </si>
  <si>
    <t>ALE</t>
  </si>
  <si>
    <t>ALL</t>
  </si>
  <si>
    <t>AMGN</t>
  </si>
  <si>
    <t>AMP</t>
  </si>
  <si>
    <t>ANDE</t>
  </si>
  <si>
    <t>ANTM</t>
  </si>
  <si>
    <t>AON</t>
  </si>
  <si>
    <t>AOS</t>
  </si>
  <si>
    <t>APD</t>
  </si>
  <si>
    <t>APH</t>
  </si>
  <si>
    <t>APOG</t>
  </si>
  <si>
    <t>ARE</t>
  </si>
  <si>
    <t>ASB</t>
  </si>
  <si>
    <t>ASH</t>
  </si>
  <si>
    <t>ATO</t>
  </si>
  <si>
    <t>ATR</t>
  </si>
  <si>
    <t>ATRI</t>
  </si>
  <si>
    <t>AUB</t>
  </si>
  <si>
    <t>AVA</t>
  </si>
  <si>
    <t>AVGO</t>
  </si>
  <si>
    <t>AVNT</t>
  </si>
  <si>
    <t>AVY</t>
  </si>
  <si>
    <t>AWK</t>
  </si>
  <si>
    <t>AWR</t>
  </si>
  <si>
    <t>AXS</t>
  </si>
  <si>
    <t>BANF</t>
  </si>
  <si>
    <t>BBY</t>
  </si>
  <si>
    <t>BCPC</t>
  </si>
  <si>
    <t>BDX</t>
  </si>
  <si>
    <t>BEN</t>
  </si>
  <si>
    <t>BIP</t>
  </si>
  <si>
    <t>BK</t>
  </si>
  <si>
    <t>BKH</t>
  </si>
  <si>
    <t>BLK</t>
  </si>
  <si>
    <t>BMI</t>
  </si>
  <si>
    <t>BMRC</t>
  </si>
  <si>
    <t>BMY</t>
  </si>
  <si>
    <t>BOKF</t>
  </si>
  <si>
    <t>BR</t>
  </si>
  <si>
    <t>BRC</t>
  </si>
  <si>
    <t>BRO</t>
  </si>
  <si>
    <t>CAH</t>
  </si>
  <si>
    <t>CASS</t>
  </si>
  <si>
    <t>CASY</t>
  </si>
  <si>
    <t>CAT</t>
  </si>
  <si>
    <t>CB</t>
  </si>
  <si>
    <t>CBOE</t>
  </si>
  <si>
    <t>CBSH</t>
  </si>
  <si>
    <t>CBT</t>
  </si>
  <si>
    <t>CBU</t>
  </si>
  <si>
    <t>CE</t>
  </si>
  <si>
    <t>CFR</t>
  </si>
  <si>
    <t>CHCO</t>
  </si>
  <si>
    <t>CHD</t>
  </si>
  <si>
    <t>CHDN</t>
  </si>
  <si>
    <t>CHE</t>
  </si>
  <si>
    <t>CHRW</t>
  </si>
  <si>
    <t>CINF</t>
  </si>
  <si>
    <t>CL</t>
  </si>
  <si>
    <t>CLX</t>
  </si>
  <si>
    <t>CMCSA</t>
  </si>
  <si>
    <t>CME</t>
  </si>
  <si>
    <t>CMI</t>
  </si>
  <si>
    <t>CMS</t>
  </si>
  <si>
    <t>CNS</t>
  </si>
  <si>
    <t>COST</t>
  </si>
  <si>
    <t>CPK</t>
  </si>
  <si>
    <t>CSCO</t>
  </si>
  <si>
    <t>CSL</t>
  </si>
  <si>
    <t>CSX</t>
  </si>
  <si>
    <t>CTAS</t>
  </si>
  <si>
    <t>CTBI</t>
  </si>
  <si>
    <t>CUBE</t>
  </si>
  <si>
    <t>CVX</t>
  </si>
  <si>
    <t>CWT</t>
  </si>
  <si>
    <t>DCI</t>
  </si>
  <si>
    <t>DDS</t>
  </si>
  <si>
    <t>DFS</t>
  </si>
  <si>
    <t>DGX</t>
  </si>
  <si>
    <t>DLR</t>
  </si>
  <si>
    <t>DOV</t>
  </si>
  <si>
    <t>DTE</t>
  </si>
  <si>
    <t>DUK</t>
  </si>
  <si>
    <t>ECL</t>
  </si>
  <si>
    <t>ED</t>
  </si>
  <si>
    <t>EGP</t>
  </si>
  <si>
    <t>EIX</t>
  </si>
  <si>
    <t>ELS</t>
  </si>
  <si>
    <t>EMN</t>
  </si>
  <si>
    <t>EMR</t>
  </si>
  <si>
    <t>ENSG</t>
  </si>
  <si>
    <t>EPD</t>
  </si>
  <si>
    <t>ERIE</t>
  </si>
  <si>
    <t>ES</t>
  </si>
  <si>
    <t>ESS</t>
  </si>
  <si>
    <t>ETN</t>
  </si>
  <si>
    <t>EVR</t>
  </si>
  <si>
    <t>EVRG</t>
  </si>
  <si>
    <t>EXPD</t>
  </si>
  <si>
    <t>EXR</t>
  </si>
  <si>
    <t>FAF</t>
  </si>
  <si>
    <t>FAST</t>
  </si>
  <si>
    <t>FCBC</t>
  </si>
  <si>
    <t>FDS</t>
  </si>
  <si>
    <t>FELE</t>
  </si>
  <si>
    <t>FFIN</t>
  </si>
  <si>
    <t>FISI</t>
  </si>
  <si>
    <t>FITB</t>
  </si>
  <si>
    <t>FLIC</t>
  </si>
  <si>
    <t>FLO</t>
  </si>
  <si>
    <t>FNF</t>
  </si>
  <si>
    <t>FRME</t>
  </si>
  <si>
    <t>FRT</t>
  </si>
  <si>
    <t>FUL</t>
  </si>
  <si>
    <t>GATX</t>
  </si>
  <si>
    <t>GD</t>
  </si>
  <si>
    <t>GFF</t>
  </si>
  <si>
    <t>GGG</t>
  </si>
  <si>
    <t>GL</t>
  </si>
  <si>
    <t>GLW</t>
  </si>
  <si>
    <t>GNTX</t>
  </si>
  <si>
    <t>GPC</t>
  </si>
  <si>
    <t>GRC</t>
  </si>
  <si>
    <t>GS</t>
  </si>
  <si>
    <t>GWW</t>
  </si>
  <si>
    <t>HBAN</t>
  </si>
  <si>
    <t>HBNC</t>
  </si>
  <si>
    <t>HCSG</t>
  </si>
  <si>
    <t>HD</t>
  </si>
  <si>
    <t>HEI</t>
  </si>
  <si>
    <t>HFWA</t>
  </si>
  <si>
    <t>HI</t>
  </si>
  <si>
    <t>HIFS</t>
  </si>
  <si>
    <t>HMN</t>
  </si>
  <si>
    <t>HNI</t>
  </si>
  <si>
    <t>HOMB</t>
  </si>
  <si>
    <t>HON</t>
  </si>
  <si>
    <t>HPQ</t>
  </si>
  <si>
    <t>HRL</t>
  </si>
  <si>
    <t>HSY</t>
  </si>
  <si>
    <t>HUBB</t>
  </si>
  <si>
    <t>HUM</t>
  </si>
  <si>
    <t>HWKN</t>
  </si>
  <si>
    <t>IBM</t>
  </si>
  <si>
    <t>IBOC</t>
  </si>
  <si>
    <t>IDA</t>
  </si>
  <si>
    <t>IEX</t>
  </si>
  <si>
    <t>IFF</t>
  </si>
  <si>
    <t>INDB</t>
  </si>
  <si>
    <t>INGR</t>
  </si>
  <si>
    <t>INTU</t>
  </si>
  <si>
    <t>ITT</t>
  </si>
  <si>
    <t>ITW</t>
  </si>
  <si>
    <t>JBHT</t>
  </si>
  <si>
    <t>JJSF</t>
  </si>
  <si>
    <t>JKHY</t>
  </si>
  <si>
    <t>JNJ</t>
  </si>
  <si>
    <t>JPM</t>
  </si>
  <si>
    <t>K</t>
  </si>
  <si>
    <t>KALU</t>
  </si>
  <si>
    <t>KEY</t>
  </si>
  <si>
    <t>KLAC</t>
  </si>
  <si>
    <t>KMB</t>
  </si>
  <si>
    <t>KO</t>
  </si>
  <si>
    <t>KR</t>
  </si>
  <si>
    <t>KW</t>
  </si>
  <si>
    <t>KWR</t>
  </si>
  <si>
    <t>LAD</t>
  </si>
  <si>
    <t>LANC</t>
  </si>
  <si>
    <t>LBAI</t>
  </si>
  <si>
    <t>LECO</t>
  </si>
  <si>
    <t>LEG</t>
  </si>
  <si>
    <t>LFUS</t>
  </si>
  <si>
    <t>LHX</t>
  </si>
  <si>
    <t>LII</t>
  </si>
  <si>
    <t>LKFN</t>
  </si>
  <si>
    <t>LMAT</t>
  </si>
  <si>
    <t>LMT</t>
  </si>
  <si>
    <t>LNC</t>
  </si>
  <si>
    <t>LNN</t>
  </si>
  <si>
    <t>LNT</t>
  </si>
  <si>
    <t>LOW</t>
  </si>
  <si>
    <t>LYB</t>
  </si>
  <si>
    <t>MA</t>
  </si>
  <si>
    <t>MAA</t>
  </si>
  <si>
    <t>MAN</t>
  </si>
  <si>
    <t>MATW</t>
  </si>
  <si>
    <t>MCD</t>
  </si>
  <si>
    <t>MCHP</t>
  </si>
  <si>
    <t>MCK</t>
  </si>
  <si>
    <t>MCO</t>
  </si>
  <si>
    <t>MCY</t>
  </si>
  <si>
    <t>MDT</t>
  </si>
  <si>
    <t>MDU</t>
  </si>
  <si>
    <t>MGEE</t>
  </si>
  <si>
    <t>MGRC</t>
  </si>
  <si>
    <t>MKC</t>
  </si>
  <si>
    <t>MKTX</t>
  </si>
  <si>
    <t>MMC</t>
  </si>
  <si>
    <t>MMM</t>
  </si>
  <si>
    <t>MMP</t>
  </si>
  <si>
    <t>MNRO</t>
  </si>
  <si>
    <t>MO</t>
  </si>
  <si>
    <t>MORN</t>
  </si>
  <si>
    <t>MRK</t>
  </si>
  <si>
    <t>MSA</t>
  </si>
  <si>
    <t>MSEX</t>
  </si>
  <si>
    <t>MSFT</t>
  </si>
  <si>
    <t>MSI</t>
  </si>
  <si>
    <t>NDSN</t>
  </si>
  <si>
    <t>NEE</t>
  </si>
  <si>
    <t>NFG</t>
  </si>
  <si>
    <t>NHC</t>
  </si>
  <si>
    <t>NI</t>
  </si>
  <si>
    <t>NJR</t>
  </si>
  <si>
    <t>NKE</t>
  </si>
  <si>
    <t>NNN</t>
  </si>
  <si>
    <t>NOC</t>
  </si>
  <si>
    <t>NP</t>
  </si>
  <si>
    <t>NSP</t>
  </si>
  <si>
    <t>NUE</t>
  </si>
  <si>
    <t>NUS</t>
  </si>
  <si>
    <t>NWBI</t>
  </si>
  <si>
    <t>NWE</t>
  </si>
  <si>
    <t>NWN</t>
  </si>
  <si>
    <t>O</t>
  </si>
  <si>
    <t>OGE</t>
  </si>
  <si>
    <t>ORCL</t>
  </si>
  <si>
    <t>ORI</t>
  </si>
  <si>
    <t>OZK</t>
  </si>
  <si>
    <t>PAYX</t>
  </si>
  <si>
    <t>PB</t>
  </si>
  <si>
    <t>PEG</t>
  </si>
  <si>
    <t>PEP</t>
  </si>
  <si>
    <t>PETS</t>
  </si>
  <si>
    <t>PFC</t>
  </si>
  <si>
    <t>PFE</t>
  </si>
  <si>
    <t>PFG</t>
  </si>
  <si>
    <t>PG</t>
  </si>
  <si>
    <t>PII</t>
  </si>
  <si>
    <t>PKG</t>
  </si>
  <si>
    <t>PLOW</t>
  </si>
  <si>
    <t>PM</t>
  </si>
  <si>
    <t>PNC</t>
  </si>
  <si>
    <t>PNW</t>
  </si>
  <si>
    <t>POOL</t>
  </si>
  <si>
    <t>POR</t>
  </si>
  <si>
    <t>PPG</t>
  </si>
  <si>
    <t>PRGO</t>
  </si>
  <si>
    <t>PRI</t>
  </si>
  <si>
    <t>PRU</t>
  </si>
  <si>
    <t>QCOM</t>
  </si>
  <si>
    <t>R</t>
  </si>
  <si>
    <t>RBCAA</t>
  </si>
  <si>
    <t>RGA</t>
  </si>
  <si>
    <t>RGLD</t>
  </si>
  <si>
    <t>RHI</t>
  </si>
  <si>
    <t>RJF</t>
  </si>
  <si>
    <t>RLI</t>
  </si>
  <si>
    <t>RNR</t>
  </si>
  <si>
    <t>ROK</t>
  </si>
  <si>
    <t>ROP</t>
  </si>
  <si>
    <t>RPM</t>
  </si>
  <si>
    <t>RRX</t>
  </si>
  <si>
    <t>RS</t>
  </si>
  <si>
    <t>RSG</t>
  </si>
  <si>
    <t>RTX</t>
  </si>
  <si>
    <t>SASR</t>
  </si>
  <si>
    <t>SBSI</t>
  </si>
  <si>
    <t>SBUX</t>
  </si>
  <si>
    <t>SCI</t>
  </si>
  <si>
    <t>SCL</t>
  </si>
  <si>
    <t>SEIC</t>
  </si>
  <si>
    <t>SFNC</t>
  </si>
  <si>
    <t>SHW</t>
  </si>
  <si>
    <t>SJM</t>
  </si>
  <si>
    <t>SJW</t>
  </si>
  <si>
    <t>SLGN</t>
  </si>
  <si>
    <t>SMBC</t>
  </si>
  <si>
    <t>SMG</t>
  </si>
  <si>
    <t>SNA</t>
  </si>
  <si>
    <t>SO</t>
  </si>
  <si>
    <t>SON</t>
  </si>
  <si>
    <t>SPGI</t>
  </si>
  <si>
    <t>SPTN</t>
  </si>
  <si>
    <t>SR</t>
  </si>
  <si>
    <t>SRCE</t>
  </si>
  <si>
    <t>SRE</t>
  </si>
  <si>
    <t>SSB</t>
  </si>
  <si>
    <t>STAG</t>
  </si>
  <si>
    <t>STE</t>
  </si>
  <si>
    <t>STT</t>
  </si>
  <si>
    <t>SWK</t>
  </si>
  <si>
    <t>SWX</t>
  </si>
  <si>
    <t>SXI</t>
  </si>
  <si>
    <t>SXT</t>
  </si>
  <si>
    <t>SYBT</t>
  </si>
  <si>
    <t>SYK</t>
  </si>
  <si>
    <t>SYY</t>
  </si>
  <si>
    <t>TDS</t>
  </si>
  <si>
    <t>TEL</t>
  </si>
  <si>
    <t>TFC</t>
  </si>
  <si>
    <t>TGT</t>
  </si>
  <si>
    <t>THFF</t>
  </si>
  <si>
    <t>THG</t>
  </si>
  <si>
    <t>THO</t>
  </si>
  <si>
    <t>TMP</t>
  </si>
  <si>
    <t>TNC</t>
  </si>
  <si>
    <t>TOWN</t>
  </si>
  <si>
    <t>TR</t>
  </si>
  <si>
    <t>TRN</t>
  </si>
  <si>
    <t>TRNO</t>
  </si>
  <si>
    <t>TROW</t>
  </si>
  <si>
    <t>TRV</t>
  </si>
  <si>
    <t>TSCO</t>
  </si>
  <si>
    <t>TSN</t>
  </si>
  <si>
    <t>TT</t>
  </si>
  <si>
    <t>TTC</t>
  </si>
  <si>
    <t>TXN</t>
  </si>
  <si>
    <t>UBSI</t>
  </si>
  <si>
    <t>UDR</t>
  </si>
  <si>
    <t>UGI</t>
  </si>
  <si>
    <t>UHT</t>
  </si>
  <si>
    <t>UMBF</t>
  </si>
  <si>
    <t>UNH</t>
  </si>
  <si>
    <t>UNM</t>
  </si>
  <si>
    <t>UNP</t>
  </si>
  <si>
    <t>UPS</t>
  </si>
  <si>
    <t>USB</t>
  </si>
  <si>
    <t>UVV</t>
  </si>
  <si>
    <t>V</t>
  </si>
  <si>
    <t>VZ</t>
  </si>
  <si>
    <t>WABC</t>
  </si>
  <si>
    <t>WAFD</t>
  </si>
  <si>
    <t>WASH</t>
  </si>
  <si>
    <t>WBA</t>
  </si>
  <si>
    <t>WDFC</t>
  </si>
  <si>
    <t>WEC</t>
  </si>
  <si>
    <t>WHR</t>
  </si>
  <si>
    <t>WLK</t>
  </si>
  <si>
    <t>WM</t>
  </si>
  <si>
    <t>WMT</t>
  </si>
  <si>
    <t>WOR</t>
  </si>
  <si>
    <t>WPC</t>
  </si>
  <si>
    <t>WRB</t>
  </si>
  <si>
    <t>WSBC</t>
  </si>
  <si>
    <t>WSM</t>
  </si>
  <si>
    <t>WST</t>
  </si>
  <si>
    <t>WTRG</t>
  </si>
  <si>
    <t>XEL</t>
  </si>
  <si>
    <t>XOM</t>
  </si>
  <si>
    <t>XYL</t>
  </si>
  <si>
    <t>YORW</t>
  </si>
  <si>
    <t>Healthcare</t>
  </si>
  <si>
    <t>Industrials</t>
  </si>
  <si>
    <t>Technology</t>
  </si>
  <si>
    <t>Consumer Defensive</t>
  </si>
  <si>
    <t>Financial Services</t>
  </si>
  <si>
    <t>Utilities</t>
  </si>
  <si>
    <t>Basic Materials</t>
  </si>
  <si>
    <t>Real Estate</t>
  </si>
  <si>
    <t>Consumer Cyclical</t>
  </si>
  <si>
    <t>N/A</t>
  </si>
  <si>
    <t>Communication Services</t>
  </si>
  <si>
    <t>Energy</t>
  </si>
  <si>
    <t>One Month Price Return</t>
  </si>
  <si>
    <t>Three Month Price Return</t>
  </si>
  <si>
    <t>Six Month Price Return</t>
  </si>
  <si>
    <t>Year-To-Date Price Return</t>
  </si>
  <si>
    <t>One Year Price Return</t>
  </si>
  <si>
    <t>Two Year Price Return</t>
  </si>
  <si>
    <t>Five Year Price Return</t>
  </si>
  <si>
    <t>Notes</t>
  </si>
  <si>
    <t>Data Provided by IEX Cloud</t>
  </si>
  <si>
    <t>Data updated on 2023-03-19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</si>
</sst>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ální" xfId="0" builtinId="0"/>
  </cellStyles>
  <dxfs count="25">
    <dxf>
      <numFmt numFmtId="165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4" formatCode="\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4" formatCode="\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0.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\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4" formatCode="\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3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4" formatCode="\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N371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E1" sqref="E1"/>
    </sheetView>
  </sheetViews>
  <sheetFormatPr defaultRowHeight="15"/>
  <cols>
    <col min="1" max="1" width="25.7109375" customWidth="1"/>
    <col min="2" max="2" width="45.7109375" customWidth="1"/>
    <col min="3" max="3" width="25.7109375" customWidth="1"/>
    <col min="4" max="4" width="10.7109375" customWidth="1"/>
    <col min="5" max="5" width="18.7109375" customWidth="1"/>
    <col min="6" max="6" width="25.7109375" customWidth="1"/>
    <col min="7" max="7" width="34.7109375" customWidth="1"/>
    <col min="8" max="10" width="22.7109375" customWidth="1"/>
    <col min="11" max="11" width="20.7109375" customWidth="1"/>
    <col min="12" max="15" width="15.7109375" customWidth="1"/>
  </cols>
  <sheetData>
    <row r="1" spans="1:14">
      <c r="A1" s="1" t="s">
        <v>13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</row>
    <row r="2" spans="1:14">
      <c r="A2" s="1" t="s">
        <v>209</v>
      </c>
      <c r="B2" t="str">
        <f>HYPERLINK("https://www.suredividend.com/sure-analysis-LNC/","Lincoln National Corp.")</f>
        <v>Lincoln National Corp.</v>
      </c>
      <c r="C2" t="s">
        <v>388</v>
      </c>
      <c r="D2">
        <v>20.3</v>
      </c>
      <c r="E2">
        <v>8.8669950738916259E-2</v>
      </c>
      <c r="F2">
        <v>0</v>
      </c>
      <c r="G2">
        <v>6.3995312815083638E-2</v>
      </c>
      <c r="H2">
        <v>1.7686195628374</v>
      </c>
      <c r="I2">
        <v>5315.231264</v>
      </c>
      <c r="J2" t="s">
        <v>393</v>
      </c>
      <c r="K2" t="s">
        <v>393</v>
      </c>
      <c r="M2">
        <v>67.650000000000006</v>
      </c>
      <c r="N2">
        <v>28.21</v>
      </c>
    </row>
    <row r="3" spans="1:14">
      <c r="A3" s="1" t="s">
        <v>233</v>
      </c>
      <c r="B3" t="str">
        <f>HYPERLINK("https://www.suredividend.com/sure-analysis-MO/","Altria Group Inc.")</f>
        <v>Altria Group Inc.</v>
      </c>
      <c r="C3" t="s">
        <v>387</v>
      </c>
      <c r="D3">
        <v>45.32</v>
      </c>
      <c r="E3">
        <v>8.2965578111209179E-2</v>
      </c>
      <c r="F3" t="s">
        <v>393</v>
      </c>
      <c r="G3" t="s">
        <v>393</v>
      </c>
      <c r="H3">
        <v>3.5695000840648881</v>
      </c>
      <c r="I3">
        <v>83082.284870000003</v>
      </c>
      <c r="J3">
        <v>14.446580572128321</v>
      </c>
      <c r="K3">
        <v>1.1189655435940089</v>
      </c>
      <c r="M3">
        <v>53.63</v>
      </c>
      <c r="N3">
        <v>39.29</v>
      </c>
    </row>
    <row r="4" spans="1:14">
      <c r="A4" s="1" t="s">
        <v>231</v>
      </c>
      <c r="B4" t="str">
        <f>HYPERLINK("https://www.suredividend.com/sure-analysis-MMP/","Magellan Midstream Partners L.P.")</f>
        <v>Magellan Midstream Partners L.P.</v>
      </c>
      <c r="C4" t="s">
        <v>395</v>
      </c>
      <c r="D4">
        <v>52.6</v>
      </c>
      <c r="E4">
        <v>7.9657794676806087E-2</v>
      </c>
      <c r="F4">
        <v>9.6385542168675453E-3</v>
      </c>
      <c r="G4">
        <v>2.2436985119103081E-2</v>
      </c>
      <c r="H4">
        <v>4.04988855359416</v>
      </c>
      <c r="I4">
        <v>10953.471129</v>
      </c>
      <c r="J4">
        <v>10.568767975067541</v>
      </c>
      <c r="K4">
        <v>0.81981549667897968</v>
      </c>
      <c r="M4">
        <v>59.39</v>
      </c>
      <c r="N4">
        <v>42.2</v>
      </c>
    </row>
    <row r="5" spans="1:14">
      <c r="A5" s="1" t="s">
        <v>122</v>
      </c>
      <c r="B5" t="str">
        <f>HYPERLINK("https://www.suredividend.com/sure-analysis-EPD/","Enterprise Products Partners L P")</f>
        <v>Enterprise Products Partners L P</v>
      </c>
      <c r="C5" t="s">
        <v>395</v>
      </c>
      <c r="D5">
        <v>25.07</v>
      </c>
      <c r="E5">
        <v>7.8181092939768645E-2</v>
      </c>
      <c r="F5">
        <v>5.3763440860215013E-2</v>
      </c>
      <c r="G5">
        <v>2.6468260090952711E-2</v>
      </c>
      <c r="H5">
        <v>1.853415750495794</v>
      </c>
      <c r="I5">
        <v>56636.337592999997</v>
      </c>
      <c r="J5">
        <v>10.409178017502301</v>
      </c>
      <c r="K5">
        <v>0.75037074918858049</v>
      </c>
      <c r="M5">
        <v>27.1</v>
      </c>
      <c r="N5">
        <v>21.68</v>
      </c>
    </row>
    <row r="6" spans="1:14">
      <c r="A6" s="1" t="s">
        <v>330</v>
      </c>
      <c r="B6" t="str">
        <f>HYPERLINK("https://www.suredividend.com/sure-analysis-TDS/","Telephone And Data Systems, Inc.")</f>
        <v>Telephone And Data Systems, Inc.</v>
      </c>
      <c r="C6" t="s">
        <v>394</v>
      </c>
      <c r="D6">
        <v>9.9499999999999993</v>
      </c>
      <c r="E6">
        <v>7.437185929648242E-2</v>
      </c>
      <c r="F6">
        <v>2.7777777777777901E-2</v>
      </c>
      <c r="G6">
        <v>2.9462068239258569E-2</v>
      </c>
      <c r="H6">
        <v>0.70470052673068206</v>
      </c>
      <c r="I6">
        <v>1255.351085</v>
      </c>
      <c r="J6" t="s">
        <v>393</v>
      </c>
      <c r="K6" t="s">
        <v>393</v>
      </c>
      <c r="M6">
        <v>20.170000000000002</v>
      </c>
      <c r="N6">
        <v>9.49</v>
      </c>
    </row>
    <row r="7" spans="1:14">
      <c r="A7" s="1" t="s">
        <v>191</v>
      </c>
      <c r="B7" t="str">
        <f>HYPERLINK("https://www.suredividend.com/sure-analysis-KEY/","Keycorp")</f>
        <v>Keycorp</v>
      </c>
      <c r="C7" t="s">
        <v>388</v>
      </c>
      <c r="D7">
        <v>11.53</v>
      </c>
      <c r="E7">
        <v>7.1118820468343447E-2</v>
      </c>
      <c r="F7">
        <v>5.1282051282051322E-2</v>
      </c>
      <c r="G7">
        <v>0.1130496130561056</v>
      </c>
      <c r="H7">
        <v>0.78716971466077801</v>
      </c>
      <c r="I7">
        <v>17071.043324999999</v>
      </c>
      <c r="J7">
        <v>9.4891847275597563</v>
      </c>
      <c r="K7">
        <v>0.4078599557827865</v>
      </c>
      <c r="M7">
        <v>23.68</v>
      </c>
      <c r="N7">
        <v>14.92</v>
      </c>
    </row>
    <row r="8" spans="1:14">
      <c r="A8" s="1" t="s">
        <v>362</v>
      </c>
      <c r="B8" t="str">
        <f>HYPERLINK("https://www.suredividend.com/sure-analysis-VZ/","Verizon Communications Inc")</f>
        <v>Verizon Communications Inc</v>
      </c>
      <c r="C8" t="s">
        <v>394</v>
      </c>
      <c r="D8">
        <v>36.79</v>
      </c>
      <c r="E8">
        <v>7.0943191084533841E-2</v>
      </c>
      <c r="F8">
        <v>1.953125E-2</v>
      </c>
      <c r="G8">
        <v>2.0341852299487151E-2</v>
      </c>
      <c r="H8">
        <v>2.526542929411256</v>
      </c>
      <c r="I8">
        <v>160687.52116999999</v>
      </c>
      <c r="J8">
        <v>7.5596312179911553</v>
      </c>
      <c r="K8">
        <v>0.49931678446862771</v>
      </c>
      <c r="M8">
        <v>53.08</v>
      </c>
      <c r="N8">
        <v>32.79</v>
      </c>
    </row>
    <row r="9" spans="1:14">
      <c r="A9" s="1" t="s">
        <v>265</v>
      </c>
      <c r="B9" t="str">
        <f>HYPERLINK("https://www.suredividend.com/sure-analysis-PETS/","Petmed Express, Inc.")</f>
        <v>Petmed Express, Inc.</v>
      </c>
      <c r="C9" t="s">
        <v>384</v>
      </c>
      <c r="D9">
        <v>17.309999999999999</v>
      </c>
      <c r="E9">
        <v>6.9324090121317156E-2</v>
      </c>
      <c r="F9">
        <v>0</v>
      </c>
      <c r="G9">
        <v>3.7137289336648172E-2</v>
      </c>
      <c r="H9">
        <v>1.17342078155689</v>
      </c>
      <c r="I9">
        <v>385.20974100000001</v>
      </c>
      <c r="J9">
        <v>33.787364335584599</v>
      </c>
      <c r="K9">
        <v>2.0912863688413652</v>
      </c>
      <c r="M9">
        <v>27.83</v>
      </c>
      <c r="N9">
        <v>16.829999999999998</v>
      </c>
    </row>
    <row r="10" spans="1:14">
      <c r="A10" s="1" t="s">
        <v>332</v>
      </c>
      <c r="B10" t="str">
        <f>HYPERLINK("https://www.suredividend.com/sure-analysis-TFC/","Truist Financial Corporation")</f>
        <v>Truist Financial Corporation</v>
      </c>
      <c r="C10" t="s">
        <v>388</v>
      </c>
      <c r="D10">
        <v>30.56</v>
      </c>
      <c r="E10">
        <v>6.8062827225130892E-2</v>
      </c>
      <c r="F10">
        <v>8.3333333333333481E-2</v>
      </c>
      <c r="G10">
        <v>6.756521663494941E-2</v>
      </c>
      <c r="H10">
        <v>2.007595165018766</v>
      </c>
      <c r="I10">
        <v>61402.557567999997</v>
      </c>
      <c r="J10">
        <v>10.35980387509364</v>
      </c>
      <c r="K10">
        <v>0.45318175282590661</v>
      </c>
      <c r="M10">
        <v>58.53</v>
      </c>
      <c r="N10">
        <v>39.119999999999997</v>
      </c>
    </row>
    <row r="11" spans="1:14">
      <c r="A11" s="1" t="s">
        <v>365</v>
      </c>
      <c r="B11" t="str">
        <f>HYPERLINK("https://www.suredividend.com/sure-analysis-WASH/","Washington Trust Bancorp, Inc.")</f>
        <v>Washington Trust Bancorp, Inc.</v>
      </c>
      <c r="C11" t="s">
        <v>388</v>
      </c>
      <c r="D11">
        <v>34.840000000000003</v>
      </c>
      <c r="E11">
        <v>6.4293915040183697E-2</v>
      </c>
      <c r="F11">
        <v>3.7037037037036979E-2</v>
      </c>
      <c r="G11">
        <v>5.4250739413029818E-2</v>
      </c>
      <c r="H11">
        <v>2.7030844758852979</v>
      </c>
      <c r="I11">
        <v>720.45808</v>
      </c>
      <c r="J11">
        <v>10.079297129366671</v>
      </c>
      <c r="K11">
        <v>0.65768478732002378</v>
      </c>
      <c r="M11">
        <v>54.65</v>
      </c>
      <c r="N11">
        <v>41.03</v>
      </c>
    </row>
    <row r="12" spans="1:14">
      <c r="A12" s="1" t="s">
        <v>281</v>
      </c>
      <c r="B12" t="str">
        <f>HYPERLINK("https://www.suredividend.com/sure-analysis-PRU/","Prudential Financial Inc.")</f>
        <v>Prudential Financial Inc.</v>
      </c>
      <c r="C12" t="s">
        <v>388</v>
      </c>
      <c r="D12">
        <v>78.02</v>
      </c>
      <c r="E12">
        <v>6.4086131761086906E-2</v>
      </c>
      <c r="F12">
        <v>4.1666666666666741E-2</v>
      </c>
      <c r="G12">
        <v>6.790716584560208E-2</v>
      </c>
      <c r="H12">
        <v>4.7662449941839027</v>
      </c>
      <c r="I12">
        <v>36263.279999999999</v>
      </c>
      <c r="J12" t="s">
        <v>393</v>
      </c>
      <c r="K12" t="s">
        <v>393</v>
      </c>
      <c r="M12">
        <v>116.87</v>
      </c>
      <c r="N12">
        <v>83.48</v>
      </c>
    </row>
    <row r="13" spans="1:14">
      <c r="A13" s="1" t="s">
        <v>253</v>
      </c>
      <c r="B13" t="str">
        <f>HYPERLINK("https://www.suredividend.com/sure-analysis-NWBI/","Northwest Bancshares Inc")</f>
        <v>Northwest Bancshares Inc</v>
      </c>
      <c r="C13" t="s">
        <v>388</v>
      </c>
      <c r="D13">
        <v>12.52</v>
      </c>
      <c r="E13">
        <v>6.3897763578274772E-2</v>
      </c>
      <c r="F13">
        <v>0</v>
      </c>
      <c r="G13">
        <v>3.3037804113932312E-2</v>
      </c>
      <c r="H13">
        <v>0.78354847900912805</v>
      </c>
      <c r="I13">
        <v>1751.987838</v>
      </c>
      <c r="J13">
        <v>13.16482321413274</v>
      </c>
      <c r="K13">
        <v>0.74623664667536005</v>
      </c>
      <c r="M13">
        <v>15.13</v>
      </c>
      <c r="N13">
        <v>11.55</v>
      </c>
    </row>
    <row r="14" spans="1:14">
      <c r="A14" s="1" t="s">
        <v>360</v>
      </c>
      <c r="B14" t="str">
        <f>HYPERLINK("https://www.suredividend.com/sure-analysis-UVV/","Universal Corp.")</f>
        <v>Universal Corp.</v>
      </c>
      <c r="C14" t="s">
        <v>387</v>
      </c>
      <c r="D14">
        <v>50.58</v>
      </c>
      <c r="E14">
        <v>6.2475286674574942E-2</v>
      </c>
      <c r="F14">
        <v>1.282051282051277E-2</v>
      </c>
      <c r="G14">
        <v>1.044613160468888E-2</v>
      </c>
      <c r="H14">
        <v>3.078816137406259</v>
      </c>
      <c r="I14">
        <v>1261.9000020000001</v>
      </c>
      <c r="J14">
        <v>14.116002033558919</v>
      </c>
      <c r="K14">
        <v>0.86000450765537961</v>
      </c>
      <c r="M14">
        <v>61.29</v>
      </c>
      <c r="N14">
        <v>42.99</v>
      </c>
    </row>
    <row r="15" spans="1:14">
      <c r="A15" s="1" t="s">
        <v>156</v>
      </c>
      <c r="B15" t="str">
        <f>HYPERLINK("https://www.suredividend.com/sure-analysis-HBAN/","Huntington Bancshares, Inc.")</f>
        <v>Huntington Bancshares, Inc.</v>
      </c>
      <c r="C15" t="s">
        <v>388</v>
      </c>
      <c r="D15">
        <v>10.34</v>
      </c>
      <c r="E15">
        <v>5.9961315280464222E-2</v>
      </c>
      <c r="F15">
        <v>0</v>
      </c>
      <c r="G15">
        <v>7.0995886039598277E-2</v>
      </c>
      <c r="H15">
        <v>0.60954908154920706</v>
      </c>
      <c r="I15">
        <v>21962.716973999999</v>
      </c>
      <c r="J15">
        <v>10.335396223284709</v>
      </c>
      <c r="K15">
        <v>0.42037867693048758</v>
      </c>
      <c r="M15">
        <v>15.62</v>
      </c>
      <c r="N15">
        <v>11.41</v>
      </c>
    </row>
    <row r="16" spans="1:14">
      <c r="A16" s="1" t="s">
        <v>353</v>
      </c>
      <c r="B16" t="str">
        <f>HYPERLINK("https://www.suredividend.com/sure-analysis-UHT/","Universal Health Realty Income Trust")</f>
        <v>Universal Health Realty Income Trust</v>
      </c>
      <c r="C16" t="s">
        <v>391</v>
      </c>
      <c r="D16">
        <v>48.42</v>
      </c>
      <c r="E16">
        <v>5.9066501445683588E-2</v>
      </c>
      <c r="F16">
        <v>1.418439716312059E-2</v>
      </c>
      <c r="G16">
        <v>1.308584606287155E-2</v>
      </c>
      <c r="H16">
        <v>2.7807479442288869</v>
      </c>
      <c r="I16">
        <v>699.96726999999998</v>
      </c>
      <c r="J16">
        <v>33.170660126054408</v>
      </c>
      <c r="K16">
        <v>1.817482316489468</v>
      </c>
      <c r="M16">
        <v>57.52</v>
      </c>
      <c r="N16">
        <v>40.35</v>
      </c>
    </row>
    <row r="17" spans="1:14">
      <c r="A17" s="1" t="s">
        <v>139</v>
      </c>
      <c r="B17" t="str">
        <f>HYPERLINK("https://www.suredividend.com/sure-analysis-FLIC/","First Of Long Island Corp.")</f>
        <v>First Of Long Island Corp.</v>
      </c>
      <c r="C17" t="s">
        <v>388</v>
      </c>
      <c r="D17">
        <v>14.38</v>
      </c>
      <c r="E17">
        <v>5.8414464534075103E-2</v>
      </c>
      <c r="F17">
        <v>4.9999999999999822E-2</v>
      </c>
      <c r="G17">
        <v>6.9610375725068785E-2</v>
      </c>
      <c r="H17">
        <v>0.80610841174695402</v>
      </c>
      <c r="I17">
        <v>385.875651</v>
      </c>
      <c r="J17">
        <v>8.3813130204170303</v>
      </c>
      <c r="K17">
        <v>0.40712546047825959</v>
      </c>
      <c r="M17">
        <v>20.72</v>
      </c>
      <c r="N17">
        <v>15.94</v>
      </c>
    </row>
    <row r="18" spans="1:14">
      <c r="A18" s="1" t="s">
        <v>366</v>
      </c>
      <c r="B18" t="str">
        <f>HYPERLINK("https://www.suredividend.com/sure-analysis-WBA/","Walgreens Boots Alliance Inc")</f>
        <v>Walgreens Boots Alliance Inc</v>
      </c>
      <c r="C18" t="s">
        <v>384</v>
      </c>
      <c r="D18">
        <v>32.909999999999997</v>
      </c>
      <c r="E18">
        <v>5.834092980856883E-2</v>
      </c>
      <c r="F18">
        <v>5.2356020942407877E-3</v>
      </c>
      <c r="G18">
        <v>3.7137289336648172E-2</v>
      </c>
      <c r="H18">
        <v>1.8822609673443891</v>
      </c>
      <c r="I18">
        <v>31127.753263999999</v>
      </c>
      <c r="J18" t="s">
        <v>393</v>
      </c>
      <c r="K18" t="s">
        <v>393</v>
      </c>
      <c r="M18">
        <v>46.66</v>
      </c>
      <c r="N18">
        <v>29.64</v>
      </c>
    </row>
    <row r="19" spans="1:14">
      <c r="A19" s="1" t="s">
        <v>359</v>
      </c>
      <c r="B19" t="str">
        <f>HYPERLINK("https://www.suredividend.com/sure-analysis-USB/","U.S. Bancorp.")</f>
        <v>U.S. Bancorp.</v>
      </c>
      <c r="C19" t="s">
        <v>388</v>
      </c>
      <c r="D19">
        <v>32.950000000000003</v>
      </c>
      <c r="E19">
        <v>5.8270106221547789E-2</v>
      </c>
      <c r="F19">
        <v>4.3478260869565188E-2</v>
      </c>
      <c r="G19">
        <v>9.8560543306117632E-2</v>
      </c>
      <c r="H19">
        <v>1.849543845671094</v>
      </c>
      <c r="I19">
        <v>72131.056228000001</v>
      </c>
      <c r="J19">
        <v>13.11235343168878</v>
      </c>
      <c r="K19">
        <v>0.50123139449081144</v>
      </c>
      <c r="M19">
        <v>55.61</v>
      </c>
      <c r="N19">
        <v>37.96</v>
      </c>
    </row>
    <row r="20" spans="1:14">
      <c r="A20" s="1" t="s">
        <v>249</v>
      </c>
      <c r="B20" t="str">
        <f>HYPERLINK("https://www.suredividend.com/sure-analysis-research-database/","Neenah Inc")</f>
        <v>Neenah Inc</v>
      </c>
      <c r="C20" t="s">
        <v>390</v>
      </c>
      <c r="D20">
        <v>32</v>
      </c>
      <c r="E20">
        <v>5.8252615601215002E-2</v>
      </c>
      <c r="F20" t="s">
        <v>393</v>
      </c>
      <c r="G20" t="s">
        <v>393</v>
      </c>
      <c r="H20">
        <v>1.8640836992388881</v>
      </c>
      <c r="I20">
        <v>537.25388799999996</v>
      </c>
      <c r="J20" t="s">
        <v>393</v>
      </c>
      <c r="K20" t="s">
        <v>393</v>
      </c>
      <c r="L20">
        <v>0.74646426074693506</v>
      </c>
      <c r="M20">
        <v>55.11</v>
      </c>
      <c r="N20">
        <v>31.05</v>
      </c>
    </row>
    <row r="21" spans="1:14">
      <c r="A21" s="1" t="s">
        <v>230</v>
      </c>
      <c r="B21" t="str">
        <f>HYPERLINK("https://www.suredividend.com/sure-analysis-MMM/","3M Co.")</f>
        <v>3M Co.</v>
      </c>
      <c r="C21" t="s">
        <v>385</v>
      </c>
      <c r="D21">
        <v>103.02</v>
      </c>
      <c r="E21">
        <v>5.8241118229470007E-2</v>
      </c>
      <c r="F21">
        <v>6.7114093959732557E-3</v>
      </c>
      <c r="G21">
        <v>1.9789345219038749E-2</v>
      </c>
      <c r="H21">
        <v>5.8627854850130294</v>
      </c>
      <c r="I21">
        <v>61248.63</v>
      </c>
      <c r="J21">
        <v>10.60398718836565</v>
      </c>
      <c r="K21">
        <v>0.57591213015845089</v>
      </c>
      <c r="M21">
        <v>147.85</v>
      </c>
      <c r="N21">
        <v>104.45</v>
      </c>
    </row>
    <row r="22" spans="1:14">
      <c r="A22" s="1" t="s">
        <v>202</v>
      </c>
      <c r="B22" t="str">
        <f>HYPERLINK("https://www.suredividend.com/sure-analysis-LEG/","Leggett &amp; Platt, Inc.")</f>
        <v>Leggett &amp; Platt, Inc.</v>
      </c>
      <c r="C22" t="s">
        <v>392</v>
      </c>
      <c r="D22">
        <v>30.23</v>
      </c>
      <c r="E22">
        <v>5.8220310949388017E-2</v>
      </c>
      <c r="F22">
        <v>4.7619047619047672E-2</v>
      </c>
      <c r="G22">
        <v>2.9754778570413091E-2</v>
      </c>
      <c r="H22">
        <v>1.708210534387782</v>
      </c>
      <c r="I22">
        <v>4620.384188</v>
      </c>
      <c r="J22">
        <v>14.914087114912849</v>
      </c>
      <c r="K22">
        <v>0.75251565391532249</v>
      </c>
      <c r="M22">
        <v>40.909999999999997</v>
      </c>
      <c r="N22">
        <v>29.89</v>
      </c>
    </row>
    <row r="23" spans="1:14">
      <c r="A23" s="1" t="s">
        <v>213</v>
      </c>
      <c r="B23" t="str">
        <f>HYPERLINK("https://www.suredividend.com/sure-analysis-LYB/","LyondellBasell Industries NV")</f>
        <v>LyondellBasell Industries NV</v>
      </c>
      <c r="C23" t="s">
        <v>390</v>
      </c>
      <c r="D23">
        <v>84.68</v>
      </c>
      <c r="E23">
        <v>5.6211620217288608E-2</v>
      </c>
      <c r="F23">
        <v>0</v>
      </c>
      <c r="G23">
        <v>3.5402936335428681E-2</v>
      </c>
      <c r="H23">
        <v>4.7010937015675811</v>
      </c>
      <c r="I23">
        <v>31699.478902999999</v>
      </c>
      <c r="J23">
        <v>8.1762906635336599</v>
      </c>
      <c r="K23">
        <v>0.397723663415193</v>
      </c>
      <c r="M23">
        <v>109.7</v>
      </c>
      <c r="N23">
        <v>70.59</v>
      </c>
    </row>
    <row r="24" spans="1:14">
      <c r="A24" s="1" t="s">
        <v>196</v>
      </c>
      <c r="B24" t="str">
        <f>HYPERLINK("https://www.suredividend.com/sure-analysis-research-database/","Kennedy-Wilson Holdings Inc")</f>
        <v>Kennedy-Wilson Holdings Inc</v>
      </c>
      <c r="C24" t="s">
        <v>391</v>
      </c>
      <c r="D24">
        <v>16.36</v>
      </c>
      <c r="E24">
        <v>5.6149573275548002E-2</v>
      </c>
      <c r="F24">
        <v>0</v>
      </c>
      <c r="G24">
        <v>4.7831688302757407E-2</v>
      </c>
      <c r="H24">
        <v>0.93882086516716612</v>
      </c>
      <c r="I24">
        <v>2306.8103299999998</v>
      </c>
      <c r="J24">
        <v>35.598924845679008</v>
      </c>
      <c r="K24">
        <v>2.0077435097672498</v>
      </c>
      <c r="M24">
        <v>24.16</v>
      </c>
      <c r="N24">
        <v>13.75</v>
      </c>
    </row>
    <row r="25" spans="1:14">
      <c r="A25" s="1" t="s">
        <v>141</v>
      </c>
      <c r="B25" t="str">
        <f>HYPERLINK("https://www.suredividend.com/sure-analysis-FNF/","Fidelity National Financial Inc")</f>
        <v>Fidelity National Financial Inc</v>
      </c>
      <c r="C25" t="s">
        <v>388</v>
      </c>
      <c r="D25">
        <v>32.11</v>
      </c>
      <c r="E25">
        <v>5.6057303020865777E-2</v>
      </c>
      <c r="F25">
        <v>2.2727272727272711E-2</v>
      </c>
      <c r="G25">
        <v>8.4471771197698553E-2</v>
      </c>
      <c r="H25">
        <v>1.7396319926385331</v>
      </c>
      <c r="I25">
        <v>10373.805531</v>
      </c>
      <c r="J25">
        <v>9.1318710657130282</v>
      </c>
      <c r="K25">
        <v>0.42430048600939829</v>
      </c>
      <c r="M25">
        <v>48.77</v>
      </c>
      <c r="N25">
        <v>33.799999999999997</v>
      </c>
    </row>
    <row r="26" spans="1:14">
      <c r="A26" s="1" t="s">
        <v>374</v>
      </c>
      <c r="B26" t="str">
        <f>HYPERLINK("https://www.suredividend.com/sure-analysis-WPC/","W. P. Carey Inc")</f>
        <v>W. P. Carey Inc</v>
      </c>
      <c r="C26" t="s">
        <v>391</v>
      </c>
      <c r="D26">
        <v>77.650000000000006</v>
      </c>
      <c r="E26">
        <v>5.4990341274951698E-2</v>
      </c>
      <c r="F26">
        <v>9.4786729857820884E-3</v>
      </c>
      <c r="G26">
        <v>9.6636315693452435E-3</v>
      </c>
      <c r="H26">
        <v>4.1559657424978322</v>
      </c>
      <c r="I26">
        <v>17351.037971000002</v>
      </c>
      <c r="J26">
        <v>28.95995415250885</v>
      </c>
      <c r="K26">
        <v>1.3899550978253621</v>
      </c>
      <c r="M26">
        <v>87.13</v>
      </c>
      <c r="N26">
        <v>66.849999999999994</v>
      </c>
    </row>
    <row r="27" spans="1:14">
      <c r="A27" s="1" t="s">
        <v>369</v>
      </c>
      <c r="B27" t="str">
        <f>HYPERLINK("https://www.suredividend.com/sure-analysis-WHR/","Whirlpool Corp.")</f>
        <v>Whirlpool Corp.</v>
      </c>
      <c r="C27" t="s">
        <v>392</v>
      </c>
      <c r="D27">
        <v>128.44999999999999</v>
      </c>
      <c r="E27">
        <v>5.4495912806539523E-2</v>
      </c>
      <c r="F27">
        <v>0</v>
      </c>
      <c r="G27">
        <v>8.7597101915158015E-2</v>
      </c>
      <c r="H27">
        <v>6.8741492094176309</v>
      </c>
      <c r="I27">
        <v>7561.676434</v>
      </c>
      <c r="J27" t="s">
        <v>393</v>
      </c>
      <c r="K27" t="s">
        <v>393</v>
      </c>
      <c r="M27">
        <v>194.3</v>
      </c>
      <c r="N27">
        <v>121.4</v>
      </c>
    </row>
    <row r="28" spans="1:14">
      <c r="A28" s="1" t="s">
        <v>273</v>
      </c>
      <c r="B28" t="str">
        <f>HYPERLINK("https://www.suredividend.com/sure-analysis-PM/","Philip Morris International Inc")</f>
        <v>Philip Morris International Inc</v>
      </c>
      <c r="C28" t="s">
        <v>387</v>
      </c>
      <c r="D28">
        <v>94.79</v>
      </c>
      <c r="E28">
        <v>5.3592151070788047E-2</v>
      </c>
      <c r="F28">
        <v>1.6000000000000011E-2</v>
      </c>
      <c r="G28">
        <v>3.4865690226177248E-2</v>
      </c>
      <c r="H28">
        <v>4.9433187931187783</v>
      </c>
      <c r="I28">
        <v>153783.10318400001</v>
      </c>
      <c r="J28">
        <v>17.041567285460999</v>
      </c>
      <c r="K28">
        <v>0.85082939640598587</v>
      </c>
      <c r="M28">
        <v>105.62</v>
      </c>
      <c r="N28">
        <v>81.81</v>
      </c>
    </row>
    <row r="29" spans="1:14">
      <c r="A29" s="1" t="s">
        <v>174</v>
      </c>
      <c r="B29" t="str">
        <f>HYPERLINK("https://www.suredividend.com/sure-analysis-IBM/","International Business Machines Corp.")</f>
        <v>International Business Machines Corp.</v>
      </c>
      <c r="C29" t="s">
        <v>386</v>
      </c>
      <c r="D29">
        <v>123.69</v>
      </c>
      <c r="E29">
        <v>5.3359204462769823E-2</v>
      </c>
      <c r="F29">
        <v>6.0975609756095386E-3</v>
      </c>
      <c r="G29">
        <v>9.9894989404498702E-3</v>
      </c>
      <c r="H29">
        <v>6.481483654901445</v>
      </c>
      <c r="I29">
        <v>117210.941699</v>
      </c>
      <c r="J29">
        <v>71.4265336376112</v>
      </c>
      <c r="K29">
        <v>3.600824252723025</v>
      </c>
      <c r="M29">
        <v>151.35</v>
      </c>
      <c r="N29">
        <v>112.8</v>
      </c>
    </row>
    <row r="30" spans="1:14">
      <c r="A30" s="1" t="s">
        <v>138</v>
      </c>
      <c r="B30" t="str">
        <f>HYPERLINK("https://www.suredividend.com/sure-analysis-FITB/","Fifth Third Bancorp")</f>
        <v>Fifth Third Bancorp</v>
      </c>
      <c r="C30" t="s">
        <v>388</v>
      </c>
      <c r="D30">
        <v>24.95</v>
      </c>
      <c r="E30">
        <v>5.29058116232465E-2</v>
      </c>
      <c r="F30">
        <v>9.9999999999999867E-2</v>
      </c>
      <c r="G30">
        <v>0.15578962436501451</v>
      </c>
      <c r="H30">
        <v>1.2420661125865411</v>
      </c>
      <c r="I30">
        <v>24585.139621999999</v>
      </c>
      <c r="J30">
        <v>10.5606269854811</v>
      </c>
      <c r="K30">
        <v>0.37076600375717639</v>
      </c>
      <c r="M30">
        <v>46.35</v>
      </c>
      <c r="N30">
        <v>30.61</v>
      </c>
    </row>
    <row r="31" spans="1:14">
      <c r="A31" s="1" t="s">
        <v>247</v>
      </c>
      <c r="B31" t="str">
        <f>HYPERLINK("https://www.suredividend.com/sure-analysis-NNN/","National Retail Properties Inc")</f>
        <v>National Retail Properties Inc</v>
      </c>
      <c r="C31" t="s">
        <v>391</v>
      </c>
      <c r="D31">
        <v>42.03</v>
      </c>
      <c r="E31">
        <v>5.2343564120866048E-2</v>
      </c>
      <c r="F31">
        <v>3.7735849056603772E-2</v>
      </c>
      <c r="G31">
        <v>2.9754778570413091E-2</v>
      </c>
      <c r="H31">
        <v>2.1410746469180819</v>
      </c>
      <c r="I31">
        <v>8329.0794989999995</v>
      </c>
      <c r="J31">
        <v>24.929004343753</v>
      </c>
      <c r="K31">
        <v>1.1328437285280859</v>
      </c>
      <c r="M31">
        <v>47.75</v>
      </c>
      <c r="N31">
        <v>37.11</v>
      </c>
    </row>
    <row r="32" spans="1:14">
      <c r="A32" s="1" t="s">
        <v>256</v>
      </c>
      <c r="B32" t="str">
        <f>HYPERLINK("https://www.suredividend.com/sure-analysis-O/","Realty Income Corp.")</f>
        <v>Realty Income Corp.</v>
      </c>
      <c r="C32" t="s">
        <v>391</v>
      </c>
      <c r="D32">
        <v>61.38</v>
      </c>
      <c r="E32">
        <v>4.9853372434017593E-2</v>
      </c>
      <c r="F32">
        <v>2.620967741935476E-2</v>
      </c>
      <c r="G32">
        <v>1.56390136608302E-2</v>
      </c>
      <c r="H32">
        <v>2.9189254878528388</v>
      </c>
      <c r="I32">
        <v>42596.993227999999</v>
      </c>
      <c r="J32">
        <v>48.995400580555959</v>
      </c>
      <c r="K32">
        <v>2.055581329473831</v>
      </c>
      <c r="M32">
        <v>73.08</v>
      </c>
      <c r="N32">
        <v>54.43</v>
      </c>
    </row>
    <row r="33" spans="1:14">
      <c r="A33" s="1" t="s">
        <v>190</v>
      </c>
      <c r="B33" t="str">
        <f>HYPERLINK("https://www.suredividend.com/sure-analysis-KALU/","Kaiser Aluminum Corp")</f>
        <v>Kaiser Aluminum Corp</v>
      </c>
      <c r="C33" t="s">
        <v>390</v>
      </c>
      <c r="D33">
        <v>61.83</v>
      </c>
      <c r="E33">
        <v>4.9814006145883882E-2</v>
      </c>
      <c r="F33">
        <v>0</v>
      </c>
      <c r="G33">
        <v>6.9610375725068785E-2</v>
      </c>
      <c r="H33">
        <v>3.0360535460295028</v>
      </c>
      <c r="I33">
        <v>1344.2839530000001</v>
      </c>
      <c r="J33" t="s">
        <v>393</v>
      </c>
      <c r="K33" t="s">
        <v>393</v>
      </c>
      <c r="M33">
        <v>104.27</v>
      </c>
      <c r="N33">
        <v>58.12</v>
      </c>
    </row>
    <row r="34" spans="1:14">
      <c r="A34" s="1" t="s">
        <v>158</v>
      </c>
      <c r="B34" t="str">
        <f>HYPERLINK("https://www.suredividend.com/sure-analysis-HCSG/","Healthcare Services Group, Inc.")</f>
        <v>Healthcare Services Group, Inc.</v>
      </c>
      <c r="C34" t="s">
        <v>384</v>
      </c>
      <c r="D34">
        <v>12.78</v>
      </c>
      <c r="E34">
        <v>4.8814962167429997E-2</v>
      </c>
      <c r="F34" t="s">
        <v>393</v>
      </c>
      <c r="G34" t="s">
        <v>393</v>
      </c>
      <c r="H34">
        <v>0.63166561044655201</v>
      </c>
      <c r="I34">
        <v>962.61239699999999</v>
      </c>
      <c r="J34">
        <v>27.797066044470121</v>
      </c>
      <c r="K34">
        <v>1.3560876136679949</v>
      </c>
      <c r="M34">
        <v>19.690000000000001</v>
      </c>
      <c r="N34">
        <v>11.55</v>
      </c>
    </row>
    <row r="35" spans="1:14">
      <c r="A35" s="1" t="s">
        <v>274</v>
      </c>
      <c r="B35" t="str">
        <f>HYPERLINK("https://www.suredividend.com/sure-analysis-PNC/","PNC Financial Services Group Inc")</f>
        <v>PNC Financial Services Group Inc</v>
      </c>
      <c r="C35" t="s">
        <v>388</v>
      </c>
      <c r="D35">
        <v>123.72</v>
      </c>
      <c r="E35">
        <v>4.849660523763337E-2</v>
      </c>
      <c r="F35">
        <v>0.2</v>
      </c>
      <c r="G35">
        <v>0.1486983549970351</v>
      </c>
      <c r="H35">
        <v>5.9170784673633134</v>
      </c>
      <c r="I35">
        <v>61107.405290000002</v>
      </c>
      <c r="J35">
        <v>10.705572054924669</v>
      </c>
      <c r="K35">
        <v>0.42722588212009482</v>
      </c>
      <c r="M35">
        <v>192.31</v>
      </c>
      <c r="N35">
        <v>140.85</v>
      </c>
    </row>
    <row r="36" spans="1:14">
      <c r="A36" s="1" t="s">
        <v>110</v>
      </c>
      <c r="B36" t="str">
        <f>HYPERLINK("https://www.suredividend.com/sure-analysis-DLR/","Digital Realty Trust Inc")</f>
        <v>Digital Realty Trust Inc</v>
      </c>
      <c r="C36" t="s">
        <v>391</v>
      </c>
      <c r="D36">
        <v>100.7</v>
      </c>
      <c r="E36">
        <v>4.8460774577954308E-2</v>
      </c>
      <c r="F36">
        <v>0</v>
      </c>
      <c r="G36">
        <v>3.8502846786179663E-2</v>
      </c>
      <c r="H36">
        <v>4.8038491060791904</v>
      </c>
      <c r="I36">
        <v>30862.658112000001</v>
      </c>
      <c r="J36">
        <v>91.591459259259281</v>
      </c>
      <c r="K36">
        <v>4.2511938991851244</v>
      </c>
      <c r="M36">
        <v>148.83000000000001</v>
      </c>
      <c r="N36">
        <v>84.82</v>
      </c>
    </row>
    <row r="37" spans="1:14">
      <c r="A37" s="1" t="s">
        <v>266</v>
      </c>
      <c r="B37" t="str">
        <f>HYPERLINK("https://www.suredividend.com/sure-analysis-research-database/","Premier Financial Corp")</f>
        <v>Premier Financial Corp</v>
      </c>
      <c r="C37" t="s">
        <v>393</v>
      </c>
      <c r="D37">
        <v>20.48</v>
      </c>
      <c r="E37">
        <v>4.8065171660541001E-2</v>
      </c>
      <c r="F37">
        <v>3.3333333333333208E-2</v>
      </c>
      <c r="G37">
        <v>6.5795150976679651E-3</v>
      </c>
      <c r="H37">
        <v>1.180480615982904</v>
      </c>
      <c r="I37">
        <v>874.49910299999999</v>
      </c>
      <c r="J37">
        <v>8.5664658806473089</v>
      </c>
      <c r="K37">
        <v>0.4142037249062821</v>
      </c>
      <c r="M37">
        <v>31.12</v>
      </c>
      <c r="N37">
        <v>23.16</v>
      </c>
    </row>
    <row r="38" spans="1:14">
      <c r="A38" s="1" t="s">
        <v>57</v>
      </c>
      <c r="B38" t="str">
        <f>HYPERLINK("https://www.suredividend.com/sure-analysis-BBY/","Best Buy Co. Inc.")</f>
        <v>Best Buy Co. Inc.</v>
      </c>
      <c r="C38" t="s">
        <v>392</v>
      </c>
      <c r="D38">
        <v>76.73</v>
      </c>
      <c r="E38">
        <v>4.7960380555193527E-2</v>
      </c>
      <c r="F38">
        <v>0.25714285714285712</v>
      </c>
      <c r="G38">
        <v>0.14354703364926591</v>
      </c>
      <c r="H38">
        <v>3.4600820916143058</v>
      </c>
      <c r="I38">
        <v>18422.478439999999</v>
      </c>
      <c r="J38">
        <v>11.885469961316129</v>
      </c>
      <c r="K38">
        <v>0.51336529549173682</v>
      </c>
      <c r="M38">
        <v>104.42</v>
      </c>
      <c r="N38">
        <v>60.13</v>
      </c>
    </row>
    <row r="39" spans="1:14">
      <c r="A39" s="1" t="s">
        <v>43</v>
      </c>
      <c r="B39" t="str">
        <f>HYPERLINK("https://www.suredividend.com/sure-analysis-ASB/","Associated Banc-Corp.")</f>
        <v>Associated Banc-Corp.</v>
      </c>
      <c r="C39" t="s">
        <v>388</v>
      </c>
      <c r="D39">
        <v>17.79</v>
      </c>
      <c r="E39">
        <v>4.7217537942664423E-2</v>
      </c>
      <c r="F39">
        <v>4.9999999999999822E-2</v>
      </c>
      <c r="G39">
        <v>6.9610375725068785E-2</v>
      </c>
      <c r="H39">
        <v>0.80923085777372505</v>
      </c>
      <c r="I39">
        <v>3476.0123789999998</v>
      </c>
      <c r="J39">
        <v>9.8635183880185355</v>
      </c>
      <c r="K39">
        <v>0.3458251528947543</v>
      </c>
      <c r="M39">
        <v>25.06</v>
      </c>
      <c r="N39">
        <v>16.98</v>
      </c>
    </row>
    <row r="40" spans="1:14">
      <c r="A40" s="1" t="s">
        <v>165</v>
      </c>
      <c r="B40" t="str">
        <f>HYPERLINK("https://www.suredividend.com/sure-analysis-HNI/","HNI Corp.")</f>
        <v>HNI Corp.</v>
      </c>
      <c r="C40" t="s">
        <v>385</v>
      </c>
      <c r="D40">
        <v>27.12</v>
      </c>
      <c r="E40">
        <v>4.71976401179941E-2</v>
      </c>
      <c r="F40">
        <v>3.2258064516128997E-2</v>
      </c>
      <c r="G40">
        <v>1.6402190778280978E-2</v>
      </c>
      <c r="H40">
        <v>1.260612549163632</v>
      </c>
      <c r="I40">
        <v>1335.3764269999999</v>
      </c>
      <c r="J40">
        <v>10.77785655569007</v>
      </c>
      <c r="K40">
        <v>0.42877977862708572</v>
      </c>
      <c r="M40">
        <v>38.270000000000003</v>
      </c>
      <c r="N40">
        <v>25.96</v>
      </c>
    </row>
    <row r="41" spans="1:14">
      <c r="A41" s="1" t="s">
        <v>341</v>
      </c>
      <c r="B41" t="str">
        <f>HYPERLINK("https://www.suredividend.com/sure-analysis-TRN/","Trinity Industries, Inc.")</f>
        <v>Trinity Industries, Inc.</v>
      </c>
      <c r="C41" t="s">
        <v>385</v>
      </c>
      <c r="D41">
        <v>22.06</v>
      </c>
      <c r="E41">
        <v>4.7144152311876707E-2</v>
      </c>
      <c r="F41">
        <v>0.13043478260869559</v>
      </c>
      <c r="G41">
        <v>0.1486983549970351</v>
      </c>
      <c r="H41">
        <v>0.93649784801070513</v>
      </c>
      <c r="I41">
        <v>2276.3830170000001</v>
      </c>
      <c r="J41">
        <v>37.876589304159737</v>
      </c>
      <c r="K41">
        <v>1.311989139830072</v>
      </c>
      <c r="M41">
        <v>34.049999999999997</v>
      </c>
      <c r="N41">
        <v>20.53</v>
      </c>
    </row>
    <row r="42" spans="1:14">
      <c r="A42" s="1" t="s">
        <v>61</v>
      </c>
      <c r="B42" t="str">
        <f>HYPERLINK("https://www.suredividend.com/sure-analysis-BIP/","Brookfield Infrastructure Partners L.P")</f>
        <v>Brookfield Infrastructure Partners L.P</v>
      </c>
      <c r="C42" t="s">
        <v>389</v>
      </c>
      <c r="D42">
        <v>32.46</v>
      </c>
      <c r="E42">
        <v>4.7134935304990758E-2</v>
      </c>
      <c r="F42" t="s">
        <v>393</v>
      </c>
      <c r="G42" t="s">
        <v>393</v>
      </c>
      <c r="H42">
        <v>1.5331466991058751</v>
      </c>
      <c r="I42">
        <v>15420.007584999999</v>
      </c>
      <c r="J42">
        <v>0</v>
      </c>
      <c r="K42" t="s">
        <v>393</v>
      </c>
      <c r="M42">
        <v>44.28</v>
      </c>
      <c r="N42">
        <v>29.69</v>
      </c>
    </row>
    <row r="43" spans="1:14">
      <c r="A43" s="1" t="s">
        <v>143</v>
      </c>
      <c r="B43" t="str">
        <f>HYPERLINK("https://www.suredividend.com/sure-analysis-FRT/","Federal Realty Investment Trust.")</f>
        <v>Federal Realty Investment Trust.</v>
      </c>
      <c r="C43" t="s">
        <v>391</v>
      </c>
      <c r="D43">
        <v>91.88</v>
      </c>
      <c r="E43">
        <v>4.7017849368741843E-2</v>
      </c>
      <c r="F43">
        <v>9.3457943925234765E-3</v>
      </c>
      <c r="G43">
        <v>1.551127839748156E-2</v>
      </c>
      <c r="H43">
        <v>4.2422308571018537</v>
      </c>
      <c r="I43">
        <v>8725.1285549999993</v>
      </c>
      <c r="J43">
        <v>0</v>
      </c>
      <c r="K43" t="s">
        <v>393</v>
      </c>
      <c r="M43">
        <v>125.35</v>
      </c>
      <c r="N43">
        <v>85.52</v>
      </c>
    </row>
    <row r="44" spans="1:14">
      <c r="A44" s="1" t="s">
        <v>257</v>
      </c>
      <c r="B44" t="str">
        <f>HYPERLINK("https://www.suredividend.com/sure-analysis-OGE/","Oge Energy Corp.")</f>
        <v>Oge Energy Corp.</v>
      </c>
      <c r="C44" t="s">
        <v>389</v>
      </c>
      <c r="D44">
        <v>35.68</v>
      </c>
      <c r="E44">
        <v>4.652466367713004E-2</v>
      </c>
      <c r="F44">
        <v>1.0000000000000011E-2</v>
      </c>
      <c r="G44">
        <v>4.4871097455522868E-2</v>
      </c>
      <c r="H44">
        <v>1.6213761139739831</v>
      </c>
      <c r="I44">
        <v>7168.2058969999998</v>
      </c>
      <c r="J44">
        <v>10.76792233288268</v>
      </c>
      <c r="K44">
        <v>0.48836629938975401</v>
      </c>
      <c r="M44">
        <v>41.96</v>
      </c>
      <c r="N44">
        <v>32.92</v>
      </c>
    </row>
    <row r="45" spans="1:14">
      <c r="A45" s="1" t="s">
        <v>320</v>
      </c>
      <c r="B45" t="str">
        <f>HYPERLINK("https://www.suredividend.com/sure-analysis-STAG/","STAG Industrial Inc")</f>
        <v>STAG Industrial Inc</v>
      </c>
      <c r="C45" t="s">
        <v>391</v>
      </c>
      <c r="D45">
        <v>31.91</v>
      </c>
      <c r="E45">
        <v>4.6067063616421183E-2</v>
      </c>
      <c r="F45">
        <v>6.8465565847766197E-3</v>
      </c>
      <c r="G45">
        <v>2.7440787070422972E-3</v>
      </c>
      <c r="H45">
        <v>1.431856553481617</v>
      </c>
      <c r="I45">
        <v>6134.846356</v>
      </c>
      <c r="J45">
        <v>34.448204862568723</v>
      </c>
      <c r="K45">
        <v>1.438762614028956</v>
      </c>
      <c r="M45">
        <v>40.78</v>
      </c>
      <c r="N45">
        <v>26.07</v>
      </c>
    </row>
    <row r="46" spans="1:14">
      <c r="A46" s="1" t="s">
        <v>137</v>
      </c>
      <c r="B46" t="str">
        <f>HYPERLINK("https://www.suredividend.com/sure-analysis-research-database/","Financial Institutions Inc.")</f>
        <v>Financial Institutions Inc.</v>
      </c>
      <c r="C46" t="s">
        <v>388</v>
      </c>
      <c r="D46">
        <v>19.73</v>
      </c>
      <c r="E46">
        <v>4.6037739932444012E-2</v>
      </c>
      <c r="F46">
        <v>3.4482758620689953E-2</v>
      </c>
      <c r="G46">
        <v>4.5639552591273169E-2</v>
      </c>
      <c r="H46">
        <v>1.1398944407273339</v>
      </c>
      <c r="I46">
        <v>379.69541700000002</v>
      </c>
      <c r="J46">
        <v>6.0618391219247414</v>
      </c>
      <c r="K46">
        <v>0.28426295279983388</v>
      </c>
      <c r="M46">
        <v>32.97</v>
      </c>
      <c r="N46">
        <v>22.64</v>
      </c>
    </row>
    <row r="47" spans="1:14">
      <c r="A47" s="1" t="s">
        <v>60</v>
      </c>
      <c r="B47" t="str">
        <f>HYPERLINK("https://www.suredividend.com/sure-analysis-BEN/","Franklin Resources, Inc.")</f>
        <v>Franklin Resources, Inc.</v>
      </c>
      <c r="C47" t="s">
        <v>388</v>
      </c>
      <c r="D47">
        <v>26.27</v>
      </c>
      <c r="E47">
        <v>4.5679482299200609E-2</v>
      </c>
      <c r="F47">
        <v>3.4482758620689953E-2</v>
      </c>
      <c r="G47">
        <v>5.4577943305794463E-2</v>
      </c>
      <c r="H47">
        <v>1.1494802436171001</v>
      </c>
      <c r="I47">
        <v>14802.635759000001</v>
      </c>
      <c r="J47">
        <v>15.390554958078599</v>
      </c>
      <c r="K47">
        <v>0.58349250945030451</v>
      </c>
      <c r="M47">
        <v>34.369999999999997</v>
      </c>
      <c r="N47">
        <v>20.010000000000002</v>
      </c>
    </row>
    <row r="48" spans="1:14">
      <c r="A48" s="1" t="s">
        <v>254</v>
      </c>
      <c r="B48" t="str">
        <f>HYPERLINK("https://www.suredividend.com/sure-analysis-NWE/","Northwestern Corp.")</f>
        <v>Northwestern Corp.</v>
      </c>
      <c r="C48" t="s">
        <v>389</v>
      </c>
      <c r="D48">
        <v>56.45</v>
      </c>
      <c r="E48">
        <v>4.5349867139061112E-2</v>
      </c>
      <c r="F48">
        <v>1.587301587301582E-2</v>
      </c>
      <c r="G48">
        <v>3.077400337593272E-2</v>
      </c>
      <c r="H48">
        <v>2.4783994853963391</v>
      </c>
      <c r="I48">
        <v>3448.626409</v>
      </c>
      <c r="J48">
        <v>18.8441292697587</v>
      </c>
      <c r="K48">
        <v>0.76258445704502742</v>
      </c>
      <c r="M48">
        <v>60.98</v>
      </c>
      <c r="N48">
        <v>48.16</v>
      </c>
    </row>
    <row r="49" spans="1:14">
      <c r="A49" s="1" t="s">
        <v>343</v>
      </c>
      <c r="B49" t="str">
        <f>HYPERLINK("https://www.suredividend.com/sure-analysis-TROW/","T. Rowe Price Group Inc.")</f>
        <v>T. Rowe Price Group Inc.</v>
      </c>
      <c r="C49" t="s">
        <v>388</v>
      </c>
      <c r="D49">
        <v>108.17</v>
      </c>
      <c r="E49">
        <v>4.5114172136451879E-2</v>
      </c>
      <c r="F49">
        <v>1.6666666666666611E-2</v>
      </c>
      <c r="G49">
        <v>0.11751241888136341</v>
      </c>
      <c r="H49">
        <v>4.725957099148772</v>
      </c>
      <c r="I49">
        <v>25467.033885000001</v>
      </c>
      <c r="J49">
        <v>16.73481001758444</v>
      </c>
      <c r="K49">
        <v>0.70536673121623461</v>
      </c>
      <c r="M49">
        <v>152.84</v>
      </c>
      <c r="N49">
        <v>92.58</v>
      </c>
    </row>
    <row r="50" spans="1:14">
      <c r="A50" s="1" t="s">
        <v>376</v>
      </c>
      <c r="B50" t="str">
        <f>HYPERLINK("https://www.suredividend.com/sure-analysis-WSBC/","Wesbanco, Inc.")</f>
        <v>Wesbanco, Inc.</v>
      </c>
      <c r="C50" t="s">
        <v>388</v>
      </c>
      <c r="D50">
        <v>31.04</v>
      </c>
      <c r="E50">
        <v>4.5103092783505147E-2</v>
      </c>
      <c r="F50">
        <v>2.941176470588247E-2</v>
      </c>
      <c r="G50">
        <v>3.8326670088616899E-2</v>
      </c>
      <c r="H50">
        <v>1.3508371361878679</v>
      </c>
      <c r="I50">
        <v>2117.678934</v>
      </c>
      <c r="J50">
        <v>11.636365769061699</v>
      </c>
      <c r="K50">
        <v>0.44729706496287019</v>
      </c>
      <c r="M50">
        <v>41</v>
      </c>
      <c r="N50">
        <v>28.95</v>
      </c>
    </row>
    <row r="51" spans="1:14">
      <c r="A51" s="1" t="s">
        <v>298</v>
      </c>
      <c r="B51" t="str">
        <f>HYPERLINK("https://www.suredividend.com/sure-analysis-research-database/","Sandy Spring Bancorp")</f>
        <v>Sandy Spring Bancorp</v>
      </c>
      <c r="C51" t="s">
        <v>388</v>
      </c>
      <c r="D51">
        <v>27.71</v>
      </c>
      <c r="E51">
        <v>4.4911011983218001E-2</v>
      </c>
      <c r="F51">
        <v>0</v>
      </c>
      <c r="G51">
        <v>3.9594988207552577E-2</v>
      </c>
      <c r="H51">
        <v>1.340593707699087</v>
      </c>
      <c r="I51">
        <v>1333.5205120000001</v>
      </c>
      <c r="J51">
        <v>8.0517849020034067</v>
      </c>
      <c r="K51">
        <v>0.36429176839649102</v>
      </c>
      <c r="M51">
        <v>44.7</v>
      </c>
      <c r="N51">
        <v>29.67</v>
      </c>
    </row>
    <row r="52" spans="1:14">
      <c r="A52" s="1" t="s">
        <v>102</v>
      </c>
      <c r="B52" t="str">
        <f>HYPERLINK("https://www.suredividend.com/sure-analysis-CTBI/","Community Trust Bancorp, Inc.")</f>
        <v>Community Trust Bancorp, Inc.</v>
      </c>
      <c r="C52" t="s">
        <v>388</v>
      </c>
      <c r="D52">
        <v>39.35</v>
      </c>
      <c r="E52">
        <v>4.4726810673443453E-2</v>
      </c>
      <c r="F52">
        <v>9.9999999999999867E-2</v>
      </c>
      <c r="G52">
        <v>5.9223841048812183E-2</v>
      </c>
      <c r="H52">
        <v>1.656213850640909</v>
      </c>
      <c r="I52">
        <v>767.785797</v>
      </c>
      <c r="J52">
        <v>9.3845282790231508</v>
      </c>
      <c r="K52">
        <v>0.36161874468142119</v>
      </c>
      <c r="M52">
        <v>47.6</v>
      </c>
      <c r="N52">
        <v>38.33</v>
      </c>
    </row>
    <row r="53" spans="1:14">
      <c r="A53" s="1" t="s">
        <v>125</v>
      </c>
      <c r="B53" t="str">
        <f>HYPERLINK("https://www.suredividend.com/sure-analysis-ESS/","Essex Property Trust, Inc.")</f>
        <v>Essex Property Trust, Inc.</v>
      </c>
      <c r="C53" t="s">
        <v>391</v>
      </c>
      <c r="D53">
        <v>207.19</v>
      </c>
      <c r="E53">
        <v>4.4596746947246489E-2</v>
      </c>
      <c r="F53">
        <v>5.2631578947368578E-2</v>
      </c>
      <c r="G53">
        <v>3.4146216325745549E-2</v>
      </c>
      <c r="H53">
        <v>8.6751022642510058</v>
      </c>
      <c r="I53">
        <v>14979.864002</v>
      </c>
      <c r="J53">
        <v>36.687028401993558</v>
      </c>
      <c r="K53">
        <v>1.383588877870974</v>
      </c>
      <c r="M53">
        <v>353.43</v>
      </c>
      <c r="N53">
        <v>203.13</v>
      </c>
    </row>
    <row r="54" spans="1:14">
      <c r="A54" s="1" t="s">
        <v>49</v>
      </c>
      <c r="B54" t="str">
        <f>HYPERLINK("https://www.suredividend.com/sure-analysis-AVA/","Avista Corp.")</f>
        <v>Avista Corp.</v>
      </c>
      <c r="C54" t="s">
        <v>389</v>
      </c>
      <c r="D54">
        <v>41.52</v>
      </c>
      <c r="E54">
        <v>4.4315992292870907E-2</v>
      </c>
      <c r="F54">
        <v>4.5454545454545407E-2</v>
      </c>
      <c r="G54">
        <v>4.3100877907665147E-2</v>
      </c>
      <c r="H54">
        <v>1.7506464413946861</v>
      </c>
      <c r="I54">
        <v>3116.0015069999999</v>
      </c>
      <c r="J54">
        <v>20.080434516613401</v>
      </c>
      <c r="K54">
        <v>0.82577662329938017</v>
      </c>
      <c r="M54">
        <v>44.93</v>
      </c>
      <c r="N54">
        <v>34.909999999999997</v>
      </c>
    </row>
    <row r="55" spans="1:14">
      <c r="A55" s="1" t="s">
        <v>275</v>
      </c>
      <c r="B55" t="str">
        <f>HYPERLINK("https://www.suredividend.com/sure-analysis-PNW/","Pinnacle West Capital Corp.")</f>
        <v>Pinnacle West Capital Corp.</v>
      </c>
      <c r="C55" t="s">
        <v>389</v>
      </c>
      <c r="D55">
        <v>77.64</v>
      </c>
      <c r="E55">
        <v>4.4049459041731062E-2</v>
      </c>
      <c r="F55">
        <v>1.7647058823529349E-2</v>
      </c>
      <c r="G55">
        <v>4.4735279500493393E-2</v>
      </c>
      <c r="H55">
        <v>3.3691764440853911</v>
      </c>
      <c r="I55">
        <v>8610.3925729999992</v>
      </c>
      <c r="J55">
        <v>17.804708360511331</v>
      </c>
      <c r="K55">
        <v>0.79088648922192284</v>
      </c>
      <c r="M55">
        <v>79.66</v>
      </c>
      <c r="N55">
        <v>57.6</v>
      </c>
    </row>
    <row r="56" spans="1:14">
      <c r="A56" s="1" t="s">
        <v>117</v>
      </c>
      <c r="B56" t="str">
        <f>HYPERLINK("https://www.suredividend.com/sure-analysis-EIX/","Edison International")</f>
        <v>Edison International</v>
      </c>
      <c r="C56" t="s">
        <v>389</v>
      </c>
      <c r="D56">
        <v>67.760000000000005</v>
      </c>
      <c r="E56">
        <v>4.3536009445100353E-2</v>
      </c>
      <c r="F56">
        <v>5.3571428571428603E-2</v>
      </c>
      <c r="G56">
        <v>4.0402363213299708E-2</v>
      </c>
      <c r="H56">
        <v>2.7903046759782719</v>
      </c>
      <c r="I56">
        <v>25746.723161999998</v>
      </c>
      <c r="J56">
        <v>42.069809087908489</v>
      </c>
      <c r="K56">
        <v>1.7439404224864199</v>
      </c>
      <c r="M56">
        <v>70.930000000000007</v>
      </c>
      <c r="N56">
        <v>53.83</v>
      </c>
    </row>
    <row r="57" spans="1:14">
      <c r="A57" s="1" t="s">
        <v>351</v>
      </c>
      <c r="B57" t="str">
        <f>HYPERLINK("https://www.suredividend.com/sure-analysis-UDR/","UDR Inc")</f>
        <v>UDR Inc</v>
      </c>
      <c r="C57" t="s">
        <v>391</v>
      </c>
      <c r="D57">
        <v>38.909999999999997</v>
      </c>
      <c r="E57">
        <v>4.3176561295296838E-2</v>
      </c>
      <c r="F57">
        <v>4.8275862068965392E-2</v>
      </c>
      <c r="G57">
        <v>3.3357927449068958E-2</v>
      </c>
      <c r="H57">
        <v>1.8782016331559761</v>
      </c>
      <c r="I57">
        <v>14147.537832</v>
      </c>
      <c r="J57">
        <v>171.4603673628078</v>
      </c>
      <c r="K57">
        <v>7.3453329415564168</v>
      </c>
      <c r="M57">
        <v>58.35</v>
      </c>
      <c r="N57">
        <v>36.799999999999997</v>
      </c>
    </row>
    <row r="58" spans="1:14">
      <c r="A58" s="1" t="s">
        <v>31</v>
      </c>
      <c r="B58" t="str">
        <f>HYPERLINK("https://www.suredividend.com/sure-analysis-ALE/","Allete, Inc.")</f>
        <v>Allete, Inc.</v>
      </c>
      <c r="C58" t="s">
        <v>389</v>
      </c>
      <c r="D58">
        <v>63.82</v>
      </c>
      <c r="E58">
        <v>4.2463177687245383E-2</v>
      </c>
      <c r="F58">
        <v>4.2307692307692157E-2</v>
      </c>
      <c r="G58">
        <v>3.8829453512362333E-2</v>
      </c>
      <c r="H58">
        <v>2.5852568115215928</v>
      </c>
      <c r="I58">
        <v>3563.9907840000001</v>
      </c>
      <c r="J58">
        <v>18.827209635499209</v>
      </c>
      <c r="K58">
        <v>0.7648688791484004</v>
      </c>
      <c r="M58">
        <v>66.69</v>
      </c>
      <c r="N58">
        <v>46.73</v>
      </c>
    </row>
    <row r="59" spans="1:14">
      <c r="A59" s="1" t="s">
        <v>299</v>
      </c>
      <c r="B59" t="str">
        <f>HYPERLINK("https://www.suredividend.com/sure-analysis-SBSI/","Southside Bancshares Inc")</f>
        <v>Southside Bancshares Inc</v>
      </c>
      <c r="C59" t="s">
        <v>388</v>
      </c>
      <c r="D59">
        <v>33.08</v>
      </c>
      <c r="E59">
        <v>4.2321644498186213E-2</v>
      </c>
      <c r="F59">
        <v>2.941176470588247E-2</v>
      </c>
      <c r="G59">
        <v>2.4569138363080611E-2</v>
      </c>
      <c r="H59">
        <v>1.3572955128143449</v>
      </c>
      <c r="I59">
        <v>1195.9300490000001</v>
      </c>
      <c r="J59">
        <v>11.3876409179204</v>
      </c>
      <c r="K59">
        <v>0.41634831681421619</v>
      </c>
      <c r="M59">
        <v>41.79</v>
      </c>
      <c r="N59">
        <v>30.86</v>
      </c>
    </row>
    <row r="60" spans="1:14">
      <c r="A60" s="1" t="s">
        <v>103</v>
      </c>
      <c r="B60" t="str">
        <f>HYPERLINK("https://www.suredividend.com/sure-analysis-CUBE/","CubeSmart")</f>
        <v>CubeSmart</v>
      </c>
      <c r="C60" t="s">
        <v>391</v>
      </c>
      <c r="D60">
        <v>46.36</v>
      </c>
      <c r="E60">
        <v>4.2277825711820538E-2</v>
      </c>
      <c r="F60">
        <v>0.13953488372093029</v>
      </c>
      <c r="G60">
        <v>0.1031002044005829</v>
      </c>
      <c r="H60">
        <v>1.7512131202297929</v>
      </c>
      <c r="I60">
        <v>10928.319896999999</v>
      </c>
      <c r="J60">
        <v>37.520453667475778</v>
      </c>
      <c r="K60">
        <v>1.357529550565731</v>
      </c>
      <c r="M60">
        <v>53.17</v>
      </c>
      <c r="N60">
        <v>36.380000000000003</v>
      </c>
    </row>
    <row r="61" spans="1:14">
      <c r="A61" s="1" t="s">
        <v>222</v>
      </c>
      <c r="B61" t="str">
        <f>HYPERLINK("https://www.suredividend.com/sure-analysis-MCY/","Mercury General Corp.")</f>
        <v>Mercury General Corp.</v>
      </c>
      <c r="C61" t="s">
        <v>388</v>
      </c>
      <c r="D61">
        <v>30.05</v>
      </c>
      <c r="E61">
        <v>4.2262895174708819E-2</v>
      </c>
      <c r="F61" t="s">
        <v>393</v>
      </c>
      <c r="G61" t="s">
        <v>393</v>
      </c>
      <c r="H61">
        <v>1.8701158242148881</v>
      </c>
      <c r="I61">
        <v>1837.767705</v>
      </c>
      <c r="J61" t="s">
        <v>393</v>
      </c>
      <c r="K61" t="s">
        <v>393</v>
      </c>
      <c r="M61">
        <v>54.41</v>
      </c>
      <c r="N61">
        <v>27.64</v>
      </c>
    </row>
    <row r="62" spans="1:14">
      <c r="A62" s="1" t="s">
        <v>259</v>
      </c>
      <c r="B62" t="str">
        <f>HYPERLINK("https://www.suredividend.com/sure-analysis-ORI/","Old Republic International Corp.")</f>
        <v>Old Republic International Corp.</v>
      </c>
      <c r="C62" t="s">
        <v>388</v>
      </c>
      <c r="D62">
        <v>23.43</v>
      </c>
      <c r="E62">
        <v>4.1826717883055912E-2</v>
      </c>
      <c r="F62">
        <v>6.5217391304347672E-2</v>
      </c>
      <c r="G62">
        <v>4.1423126681443989E-2</v>
      </c>
      <c r="H62">
        <v>0.92201407234613908</v>
      </c>
      <c r="I62">
        <v>7722.8098559999999</v>
      </c>
      <c r="J62">
        <v>11.24954094049526</v>
      </c>
      <c r="K62">
        <v>0.40797082847174299</v>
      </c>
      <c r="M62">
        <v>26.47</v>
      </c>
      <c r="N62">
        <v>19.899999999999999</v>
      </c>
    </row>
    <row r="63" spans="1:14">
      <c r="A63" s="1" t="s">
        <v>113</v>
      </c>
      <c r="B63" t="str">
        <f>HYPERLINK("https://www.suredividend.com/sure-analysis-DUK/","Duke Energy Corp.")</f>
        <v>Duke Energy Corp.</v>
      </c>
      <c r="C63" t="s">
        <v>389</v>
      </c>
      <c r="D63">
        <v>96.39</v>
      </c>
      <c r="E63">
        <v>4.1705571117335818E-2</v>
      </c>
      <c r="F63">
        <v>2.0304568527918621E-2</v>
      </c>
      <c r="G63">
        <v>2.4602027716588371E-2</v>
      </c>
      <c r="H63">
        <v>3.940651512531383</v>
      </c>
      <c r="I63">
        <v>73457.958385999998</v>
      </c>
      <c r="J63">
        <v>30.056447784840419</v>
      </c>
      <c r="K63">
        <v>1.2431077326597419</v>
      </c>
      <c r="M63">
        <v>111.92</v>
      </c>
      <c r="N63">
        <v>82.06</v>
      </c>
    </row>
    <row r="64" spans="1:14">
      <c r="A64" s="1" t="s">
        <v>323</v>
      </c>
      <c r="B64" t="str">
        <f>HYPERLINK("https://www.suredividend.com/sure-analysis-SWK/","Stanley Black &amp; Decker Inc")</f>
        <v>Stanley Black &amp; Decker Inc</v>
      </c>
      <c r="C64" t="s">
        <v>385</v>
      </c>
      <c r="D64">
        <v>77.69</v>
      </c>
      <c r="E64">
        <v>4.1189342257690817E-2</v>
      </c>
      <c r="F64">
        <v>1.265822784810133E-2</v>
      </c>
      <c r="G64">
        <v>4.8938165624699659E-2</v>
      </c>
      <c r="H64">
        <v>3.1367318987391379</v>
      </c>
      <c r="I64">
        <v>13352.864292</v>
      </c>
      <c r="J64">
        <v>12.62204772885906</v>
      </c>
      <c r="K64">
        <v>0.46401359448803819</v>
      </c>
      <c r="M64">
        <v>159.08000000000001</v>
      </c>
      <c r="N64">
        <v>69.540000000000006</v>
      </c>
    </row>
    <row r="65" spans="1:14">
      <c r="A65" s="1" t="s">
        <v>316</v>
      </c>
      <c r="B65" t="str">
        <f>HYPERLINK("https://www.suredividend.com/sure-analysis-SR/","Spire Inc.")</f>
        <v>Spire Inc.</v>
      </c>
      <c r="C65" t="s">
        <v>389</v>
      </c>
      <c r="D65">
        <v>70.010000000000005</v>
      </c>
      <c r="E65">
        <v>4.1136980431366953E-2</v>
      </c>
      <c r="F65">
        <v>5.1094890510948732E-2</v>
      </c>
      <c r="G65">
        <v>5.0611121761506839E-2</v>
      </c>
      <c r="H65">
        <v>2.7342357413720042</v>
      </c>
      <c r="I65">
        <v>3677.179087</v>
      </c>
      <c r="J65">
        <v>15.258004510954359</v>
      </c>
      <c r="K65">
        <v>0.59310970528676876</v>
      </c>
      <c r="M65">
        <v>76.95</v>
      </c>
      <c r="N65">
        <v>60.88</v>
      </c>
    </row>
    <row r="66" spans="1:14">
      <c r="A66" s="1" t="s">
        <v>324</v>
      </c>
      <c r="B66" t="str">
        <f>HYPERLINK("https://www.suredividend.com/sure-analysis-SWX/","Southwest Gas Holdings Inc")</f>
        <v>Southwest Gas Holdings Inc</v>
      </c>
      <c r="C66" t="s">
        <v>389</v>
      </c>
      <c r="D66">
        <v>60.32</v>
      </c>
      <c r="E66">
        <v>4.1114058355437667E-2</v>
      </c>
      <c r="F66">
        <v>4.2016806722689148E-2</v>
      </c>
      <c r="G66">
        <v>3.5804203580214189E-2</v>
      </c>
      <c r="H66">
        <v>2.446265910328036</v>
      </c>
      <c r="I66">
        <v>4053.6249680000001</v>
      </c>
      <c r="J66" t="s">
        <v>393</v>
      </c>
      <c r="K66" t="s">
        <v>393</v>
      </c>
      <c r="M66">
        <v>93.08</v>
      </c>
      <c r="N66">
        <v>57.93</v>
      </c>
    </row>
    <row r="67" spans="1:14">
      <c r="A67" s="1" t="s">
        <v>243</v>
      </c>
      <c r="B67" t="str">
        <f>HYPERLINK("https://www.suredividend.com/sure-analysis-NHC/","National Healthcare Corp.")</f>
        <v>National Healthcare Corp.</v>
      </c>
      <c r="C67" t="s">
        <v>384</v>
      </c>
      <c r="D67">
        <v>55.46</v>
      </c>
      <c r="E67">
        <v>4.1110710421925711E-2</v>
      </c>
      <c r="F67">
        <v>3.6363636363636383E-2</v>
      </c>
      <c r="G67">
        <v>3.4967527040806967E-2</v>
      </c>
      <c r="H67">
        <v>2.2303735571393069</v>
      </c>
      <c r="I67">
        <v>845.31416400000001</v>
      </c>
      <c r="J67">
        <v>37.661580060147017</v>
      </c>
      <c r="K67">
        <v>1.5381886600960739</v>
      </c>
      <c r="M67">
        <v>73.41</v>
      </c>
      <c r="N67">
        <v>54.82</v>
      </c>
    </row>
    <row r="68" spans="1:14">
      <c r="A68" s="1" t="s">
        <v>352</v>
      </c>
      <c r="B68" t="str">
        <f>HYPERLINK("https://www.suredividend.com/sure-analysis-UGI/","UGI Corp.")</f>
        <v>UGI Corp.</v>
      </c>
      <c r="C68" t="s">
        <v>389</v>
      </c>
      <c r="D68">
        <v>35.03</v>
      </c>
      <c r="E68">
        <v>4.1107622038252932E-2</v>
      </c>
      <c r="F68">
        <v>4.3478260869565188E-2</v>
      </c>
      <c r="G68">
        <v>6.7249181879538877E-2</v>
      </c>
      <c r="H68">
        <v>1.405670818952206</v>
      </c>
      <c r="I68">
        <v>7879.3425980000002</v>
      </c>
      <c r="J68">
        <v>36.478437955555563</v>
      </c>
      <c r="K68">
        <v>1.405670818952206</v>
      </c>
      <c r="M68">
        <v>43.33</v>
      </c>
      <c r="N68">
        <v>30.9</v>
      </c>
    </row>
    <row r="69" spans="1:14">
      <c r="A69" s="1" t="s">
        <v>66</v>
      </c>
      <c r="B69" t="str">
        <f>HYPERLINK("https://www.suredividend.com/sure-analysis-BMRC/","Bank of Marin Bancorp")</f>
        <v>Bank of Marin Bancorp</v>
      </c>
      <c r="C69" t="s">
        <v>388</v>
      </c>
      <c r="D69">
        <v>24.35</v>
      </c>
      <c r="E69">
        <v>4.1067761806981518E-2</v>
      </c>
      <c r="F69">
        <v>4.1666666666666741E-2</v>
      </c>
      <c r="G69" t="s">
        <v>393</v>
      </c>
      <c r="H69">
        <v>0.97862029919064208</v>
      </c>
      <c r="I69">
        <v>488.07157000000001</v>
      </c>
      <c r="J69">
        <v>11.240967556829959</v>
      </c>
      <c r="K69">
        <v>0.35978687470244203</v>
      </c>
      <c r="M69">
        <v>36.22</v>
      </c>
      <c r="N69">
        <v>28.77</v>
      </c>
    </row>
    <row r="70" spans="1:14">
      <c r="A70" s="1" t="s">
        <v>157</v>
      </c>
      <c r="B70" t="str">
        <f>HYPERLINK("https://www.suredividend.com/sure-analysis-research-database/","Horizon Bancorp Inc (IN)")</f>
        <v>Horizon Bancorp Inc (IN)</v>
      </c>
      <c r="C70" t="s">
        <v>388</v>
      </c>
      <c r="D70">
        <v>11.03</v>
      </c>
      <c r="E70">
        <v>4.1028355647666007E-2</v>
      </c>
      <c r="F70">
        <v>6.6666666666666652E-2</v>
      </c>
      <c r="G70">
        <v>1.299136822423641E-2</v>
      </c>
      <c r="H70">
        <v>0.62116930450567109</v>
      </c>
      <c r="I70">
        <v>665.17421899999999</v>
      </c>
      <c r="J70">
        <v>7.1014030347610708</v>
      </c>
      <c r="K70">
        <v>0.29026603014283692</v>
      </c>
      <c r="M70">
        <v>20.25</v>
      </c>
      <c r="N70">
        <v>14.35</v>
      </c>
    </row>
    <row r="71" spans="1:14">
      <c r="A71" s="1" t="s">
        <v>255</v>
      </c>
      <c r="B71" t="str">
        <f>HYPERLINK("https://www.suredividend.com/sure-analysis-NWN/","Northwest Natural Holding Co")</f>
        <v>Northwest Natural Holding Co</v>
      </c>
      <c r="C71" t="s">
        <v>389</v>
      </c>
      <c r="D71">
        <v>47.3</v>
      </c>
      <c r="E71">
        <v>4.1014799154334043E-2</v>
      </c>
      <c r="F71" t="s">
        <v>393</v>
      </c>
      <c r="G71" t="s">
        <v>393</v>
      </c>
      <c r="H71">
        <v>1.9068848029421639</v>
      </c>
      <c r="I71">
        <v>1715.4801769999999</v>
      </c>
      <c r="J71">
        <v>19.87741071272146</v>
      </c>
      <c r="K71">
        <v>0.75074204840242675</v>
      </c>
      <c r="M71">
        <v>55.43</v>
      </c>
      <c r="N71">
        <v>41.53</v>
      </c>
    </row>
    <row r="72" spans="1:14">
      <c r="A72" s="1" t="s">
        <v>128</v>
      </c>
      <c r="B72" t="str">
        <f>HYPERLINK("https://www.suredividend.com/sure-analysis-EVRG/","Evergy Inc")</f>
        <v>Evergy Inc</v>
      </c>
      <c r="C72" t="s">
        <v>389</v>
      </c>
      <c r="D72">
        <v>59.87</v>
      </c>
      <c r="E72">
        <v>4.0921997661600137E-2</v>
      </c>
      <c r="F72" t="s">
        <v>393</v>
      </c>
      <c r="G72" t="s">
        <v>393</v>
      </c>
      <c r="H72">
        <v>0</v>
      </c>
      <c r="I72">
        <v>13666.186612</v>
      </c>
      <c r="J72">
        <v>18.156219757938089</v>
      </c>
      <c r="K72">
        <v>0</v>
      </c>
      <c r="M72">
        <v>71.180000000000007</v>
      </c>
      <c r="N72">
        <v>53.56</v>
      </c>
    </row>
    <row r="73" spans="1:14">
      <c r="A73" s="1" t="s">
        <v>267</v>
      </c>
      <c r="B73" t="str">
        <f>HYPERLINK("https://www.suredividend.com/sure-analysis-PFE/","Pfizer Inc.")</f>
        <v>Pfizer Inc.</v>
      </c>
      <c r="C73" t="s">
        <v>384</v>
      </c>
      <c r="D73">
        <v>40.1</v>
      </c>
      <c r="E73">
        <v>4.0897755610972572E-2</v>
      </c>
      <c r="F73">
        <v>2.4999999999999911E-2</v>
      </c>
      <c r="G73">
        <v>3.8152102716594083E-2</v>
      </c>
      <c r="H73">
        <v>1.5893215793451669</v>
      </c>
      <c r="I73">
        <v>231224.92065399999</v>
      </c>
      <c r="J73">
        <v>7.3701883993927897</v>
      </c>
      <c r="K73">
        <v>0.29055239110514941</v>
      </c>
      <c r="M73">
        <v>54.46</v>
      </c>
      <c r="N73">
        <v>39.81</v>
      </c>
    </row>
    <row r="74" spans="1:14">
      <c r="A74" s="1" t="s">
        <v>63</v>
      </c>
      <c r="B74" t="str">
        <f>HYPERLINK("https://www.suredividend.com/sure-analysis-BKH/","Black Hills Corporation")</f>
        <v>Black Hills Corporation</v>
      </c>
      <c r="C74" t="s">
        <v>389</v>
      </c>
      <c r="D74">
        <v>61.17</v>
      </c>
      <c r="E74">
        <v>4.0869707372895213E-2</v>
      </c>
      <c r="F74">
        <v>5.0420168067226927E-2</v>
      </c>
      <c r="G74">
        <v>5.6421622299043017E-2</v>
      </c>
      <c r="H74">
        <v>2.4069834871029419</v>
      </c>
      <c r="I74">
        <v>4116.2635749999999</v>
      </c>
      <c r="J74">
        <v>15.930614059763069</v>
      </c>
      <c r="K74">
        <v>0.6062930697992297</v>
      </c>
      <c r="M74">
        <v>78.27</v>
      </c>
      <c r="N74">
        <v>57.96</v>
      </c>
    </row>
    <row r="75" spans="1:14">
      <c r="A75" s="1" t="s">
        <v>252</v>
      </c>
      <c r="B75" t="str">
        <f>HYPERLINK("https://www.suredividend.com/sure-analysis-NUS/","Nu Skin Enterprises, Inc.")</f>
        <v>Nu Skin Enterprises, Inc.</v>
      </c>
      <c r="C75" t="s">
        <v>387</v>
      </c>
      <c r="D75">
        <v>38.200000000000003</v>
      </c>
      <c r="E75">
        <v>4.0837696335078527E-2</v>
      </c>
      <c r="F75">
        <v>1.2987012987013101E-2</v>
      </c>
      <c r="G75">
        <v>1.333804570728625E-2</v>
      </c>
      <c r="H75">
        <v>1.5232323083075261</v>
      </c>
      <c r="I75">
        <v>2071.3898669999999</v>
      </c>
      <c r="J75">
        <v>19.769320539426211</v>
      </c>
      <c r="K75">
        <v>0.73586101850605135</v>
      </c>
      <c r="M75">
        <v>49.91</v>
      </c>
      <c r="N75">
        <v>29.38</v>
      </c>
    </row>
    <row r="76" spans="1:14">
      <c r="A76" s="1" t="s">
        <v>130</v>
      </c>
      <c r="B76" t="str">
        <f>HYPERLINK("https://www.suredividend.com/sure-analysis-EXR/","Extra Space Storage Inc.")</f>
        <v>Extra Space Storage Inc.</v>
      </c>
      <c r="C76" t="s">
        <v>391</v>
      </c>
      <c r="D76">
        <v>159.52000000000001</v>
      </c>
      <c r="E76">
        <v>4.0621865596790367E-2</v>
      </c>
      <c r="F76">
        <v>8.0000000000000071E-2</v>
      </c>
      <c r="G76">
        <v>0.13501947320588359</v>
      </c>
      <c r="H76">
        <v>5.9206590572100231</v>
      </c>
      <c r="I76">
        <v>22827.319269</v>
      </c>
      <c r="J76">
        <v>26.559237392595811</v>
      </c>
      <c r="K76">
        <v>0.97539687927677476</v>
      </c>
      <c r="M76">
        <v>216.5</v>
      </c>
      <c r="N76">
        <v>139.97</v>
      </c>
    </row>
    <row r="77" spans="1:14">
      <c r="A77" s="1" t="s">
        <v>131</v>
      </c>
      <c r="B77" t="str">
        <f>HYPERLINK("https://www.suredividend.com/sure-analysis-FAF/","First American Financial Corp")</f>
        <v>First American Financial Corp</v>
      </c>
      <c r="C77" t="s">
        <v>388</v>
      </c>
      <c r="D77">
        <v>51.39</v>
      </c>
      <c r="E77">
        <v>4.0474800544853078E-2</v>
      </c>
      <c r="F77">
        <v>1.9607843137254829E-2</v>
      </c>
      <c r="G77">
        <v>6.4740930444701084E-2</v>
      </c>
      <c r="H77">
        <v>2.0301647074653002</v>
      </c>
      <c r="I77">
        <v>5631.0800360000003</v>
      </c>
      <c r="J77">
        <v>21.410950708745251</v>
      </c>
      <c r="K77">
        <v>0.82863865610828569</v>
      </c>
      <c r="M77">
        <v>67.78</v>
      </c>
      <c r="N77">
        <v>43.1</v>
      </c>
    </row>
    <row r="78" spans="1:14">
      <c r="A78" s="1" t="s">
        <v>350</v>
      </c>
      <c r="B78" t="str">
        <f>HYPERLINK("https://www.suredividend.com/sure-analysis-UBSI/","United Bankshares, Inc.")</f>
        <v>United Bankshares, Inc.</v>
      </c>
      <c r="C78" t="s">
        <v>388</v>
      </c>
      <c r="D78">
        <v>35.79</v>
      </c>
      <c r="E78">
        <v>4.0234702430846613E-2</v>
      </c>
      <c r="F78">
        <v>0</v>
      </c>
      <c r="G78">
        <v>1.1497274155136241E-2</v>
      </c>
      <c r="H78">
        <v>1.4199245347321749</v>
      </c>
      <c r="I78">
        <v>5395.2055760000003</v>
      </c>
      <c r="J78">
        <v>14.211859471955369</v>
      </c>
      <c r="K78">
        <v>0.50531122232461745</v>
      </c>
      <c r="M78">
        <v>43.76</v>
      </c>
      <c r="N78">
        <v>32.17</v>
      </c>
    </row>
    <row r="79" spans="1:14">
      <c r="A79" s="1" t="s">
        <v>312</v>
      </c>
      <c r="B79" t="str">
        <f>HYPERLINK("https://www.suredividend.com/sure-analysis-SO/","Southern Company")</f>
        <v>Southern Company</v>
      </c>
      <c r="C79" t="s">
        <v>389</v>
      </c>
      <c r="D79">
        <v>67.900000000000006</v>
      </c>
      <c r="E79">
        <v>4.0058910162002942E-2</v>
      </c>
      <c r="F79">
        <v>3.030303030303028E-2</v>
      </c>
      <c r="G79">
        <v>2.5348575657732741E-2</v>
      </c>
      <c r="H79">
        <v>2.6790261284492201</v>
      </c>
      <c r="I79">
        <v>70572.122229999994</v>
      </c>
      <c r="J79">
        <v>20.026141382062999</v>
      </c>
      <c r="K79">
        <v>0.82178715596601848</v>
      </c>
      <c r="M79">
        <v>78.900000000000006</v>
      </c>
      <c r="N79">
        <v>58.24</v>
      </c>
    </row>
    <row r="80" spans="1:14">
      <c r="A80" s="1" t="s">
        <v>42</v>
      </c>
      <c r="B80" t="str">
        <f>HYPERLINK("https://www.suredividend.com/sure-analysis-ARE/","Alexandria Real Estate Equities Inc.")</f>
        <v>Alexandria Real Estate Equities Inc.</v>
      </c>
      <c r="C80" t="s">
        <v>391</v>
      </c>
      <c r="D80">
        <v>120.87</v>
      </c>
      <c r="E80">
        <v>4.0043021427980482E-2</v>
      </c>
      <c r="F80">
        <v>5.2173913043478397E-2</v>
      </c>
      <c r="G80">
        <v>6.0983358792662923E-2</v>
      </c>
      <c r="H80">
        <v>4.661855391292268</v>
      </c>
      <c r="I80">
        <v>24895.115722999999</v>
      </c>
      <c r="J80">
        <v>48.503151809990101</v>
      </c>
      <c r="K80">
        <v>1.465992261412663</v>
      </c>
      <c r="M80">
        <v>201.73</v>
      </c>
      <c r="N80">
        <v>125.67</v>
      </c>
    </row>
    <row r="81" spans="1:14">
      <c r="A81" s="1" t="s">
        <v>119</v>
      </c>
      <c r="B81" t="str">
        <f>HYPERLINK("https://www.suredividend.com/sure-analysis-EMN/","Eastman Chemical Co")</f>
        <v>Eastman Chemical Co</v>
      </c>
      <c r="C81" t="s">
        <v>390</v>
      </c>
      <c r="D81">
        <v>79.22</v>
      </c>
      <c r="E81">
        <v>3.9888916940166629E-2</v>
      </c>
      <c r="F81">
        <v>3.9473684210526327E-2</v>
      </c>
      <c r="G81">
        <v>7.1242545643384947E-2</v>
      </c>
      <c r="H81">
        <v>3.0301436304185412</v>
      </c>
      <c r="I81">
        <v>10366.214614</v>
      </c>
      <c r="J81">
        <v>13.0721495768222</v>
      </c>
      <c r="K81">
        <v>0.47718797329425849</v>
      </c>
      <c r="M81">
        <v>112.03</v>
      </c>
      <c r="N81">
        <v>69.28</v>
      </c>
    </row>
    <row r="82" spans="1:14">
      <c r="A82" s="1" t="s">
        <v>104</v>
      </c>
      <c r="B82" t="str">
        <f>HYPERLINK("https://www.suredividend.com/sure-analysis-CVX/","Chevron Corp.")</f>
        <v>Chevron Corp.</v>
      </c>
      <c r="C82" t="s">
        <v>395</v>
      </c>
      <c r="D82">
        <v>152.34</v>
      </c>
      <c r="E82">
        <v>3.9648155441774982E-2</v>
      </c>
      <c r="F82">
        <v>6.3380281690140983E-2</v>
      </c>
      <c r="G82">
        <v>6.1577695029025437E-2</v>
      </c>
      <c r="H82">
        <v>5.6984850042406974</v>
      </c>
      <c r="I82">
        <v>314524.95029800001</v>
      </c>
      <c r="J82">
        <v>8.8686014464469203</v>
      </c>
      <c r="K82">
        <v>0.3117333153304539</v>
      </c>
      <c r="M82">
        <v>186.57</v>
      </c>
      <c r="N82">
        <v>129.19999999999999</v>
      </c>
    </row>
    <row r="83" spans="1:14">
      <c r="A83" s="1" t="s">
        <v>271</v>
      </c>
      <c r="B83" t="str">
        <f>HYPERLINK("https://www.suredividend.com/sure-analysis-PKG/","Packaging Corp Of America")</f>
        <v>Packaging Corp Of America</v>
      </c>
      <c r="C83" t="s">
        <v>392</v>
      </c>
      <c r="D83">
        <v>127.32</v>
      </c>
      <c r="E83">
        <v>3.9271127866792342E-2</v>
      </c>
      <c r="F83">
        <v>0.25</v>
      </c>
      <c r="G83">
        <v>9.6116169487793224E-2</v>
      </c>
      <c r="H83">
        <v>4.684159216088057</v>
      </c>
      <c r="I83">
        <v>12766.961545</v>
      </c>
      <c r="J83">
        <v>12.4933570262648</v>
      </c>
      <c r="K83">
        <v>0.42505981997169301</v>
      </c>
      <c r="M83">
        <v>163.65</v>
      </c>
      <c r="N83">
        <v>108.49</v>
      </c>
    </row>
    <row r="84" spans="1:14">
      <c r="A84" s="1" t="s">
        <v>178</v>
      </c>
      <c r="B84" t="str">
        <f>HYPERLINK("https://www.suredividend.com/sure-analysis-IFF/","International Flavors &amp; Fragrances Inc.")</f>
        <v>International Flavors &amp; Fragrances Inc.</v>
      </c>
      <c r="C84" t="s">
        <v>390</v>
      </c>
      <c r="D84">
        <v>82.76</v>
      </c>
      <c r="E84">
        <v>3.9149347510874823E-2</v>
      </c>
      <c r="F84">
        <v>2.5316455696202441E-2</v>
      </c>
      <c r="G84">
        <v>3.2588266169875528E-2</v>
      </c>
      <c r="H84">
        <v>3.1632520896625169</v>
      </c>
      <c r="I84">
        <v>23919.687258000002</v>
      </c>
      <c r="J84" t="s">
        <v>393</v>
      </c>
      <c r="K84" t="s">
        <v>393</v>
      </c>
      <c r="M84">
        <v>132.11000000000001</v>
      </c>
      <c r="N84">
        <v>82.49</v>
      </c>
    </row>
    <row r="85" spans="1:14">
      <c r="A85" s="1" t="s">
        <v>263</v>
      </c>
      <c r="B85" t="str">
        <f>HYPERLINK("https://www.suredividend.com/sure-analysis-PEG/","Public Service Enterprise Group Inc.")</f>
        <v>Public Service Enterprise Group Inc.</v>
      </c>
      <c r="C85" t="s">
        <v>389</v>
      </c>
      <c r="D85">
        <v>58.53</v>
      </c>
      <c r="E85">
        <v>3.8954382368016398E-2</v>
      </c>
      <c r="F85">
        <v>5.555555555555558E-2</v>
      </c>
      <c r="G85">
        <v>4.8413171284721557E-2</v>
      </c>
      <c r="H85">
        <v>2.1326545359391731</v>
      </c>
      <c r="I85">
        <v>30110.739466999999</v>
      </c>
      <c r="J85">
        <v>29.205372906595532</v>
      </c>
      <c r="K85">
        <v>1.035269192203482</v>
      </c>
      <c r="M85">
        <v>73.75</v>
      </c>
      <c r="N85">
        <v>52.04</v>
      </c>
    </row>
    <row r="86" spans="1:14">
      <c r="A86" s="1" t="s">
        <v>215</v>
      </c>
      <c r="B86" t="str">
        <f>HYPERLINK("https://www.suredividend.com/sure-analysis-MAA/","Mid-America Apartment Communities, Inc.")</f>
        <v>Mid-America Apartment Communities, Inc.</v>
      </c>
      <c r="C86" t="s">
        <v>391</v>
      </c>
      <c r="D86">
        <v>145.29</v>
      </c>
      <c r="E86">
        <v>3.8543602450271872E-2</v>
      </c>
      <c r="F86" t="s">
        <v>393</v>
      </c>
      <c r="G86">
        <v>2.8661564188085849E-2</v>
      </c>
      <c r="H86">
        <v>4.9283557941406908</v>
      </c>
      <c r="I86">
        <v>18594.013985000001</v>
      </c>
      <c r="J86">
        <v>29.339759628227629</v>
      </c>
      <c r="K86">
        <v>0.89933499893078295</v>
      </c>
      <c r="M86">
        <v>211.19</v>
      </c>
      <c r="N86">
        <v>139.9</v>
      </c>
    </row>
    <row r="87" spans="1:14">
      <c r="A87" s="1" t="s">
        <v>260</v>
      </c>
      <c r="B87" t="str">
        <f>HYPERLINK("https://www.suredividend.com/sure-analysis-OZK/","Bank OZK")</f>
        <v>Bank OZK</v>
      </c>
      <c r="C87" t="s">
        <v>388</v>
      </c>
      <c r="D87">
        <v>35.64</v>
      </c>
      <c r="E87">
        <v>3.8159371492704833E-2</v>
      </c>
      <c r="F87" t="s">
        <v>393</v>
      </c>
      <c r="G87" t="s">
        <v>393</v>
      </c>
      <c r="H87">
        <v>1.284605940276776</v>
      </c>
      <c r="I87">
        <v>5356.6904189999996</v>
      </c>
      <c r="J87">
        <v>9.9483894798012074</v>
      </c>
      <c r="K87">
        <v>0.29396016939971992</v>
      </c>
      <c r="M87">
        <v>49.52</v>
      </c>
      <c r="N87">
        <v>33.94</v>
      </c>
    </row>
    <row r="88" spans="1:14">
      <c r="A88" s="1" t="s">
        <v>193</v>
      </c>
      <c r="B88" t="str">
        <f>HYPERLINK("https://www.suredividend.com/sure-analysis-KMB/","Kimberly-Clark Corp.")</f>
        <v>Kimberly-Clark Corp.</v>
      </c>
      <c r="C88" t="s">
        <v>387</v>
      </c>
      <c r="D88">
        <v>125.37</v>
      </c>
      <c r="E88">
        <v>3.7648560261625587E-2</v>
      </c>
      <c r="F88">
        <v>1.7241379310344751E-2</v>
      </c>
      <c r="G88">
        <v>3.3656884345193427E-2</v>
      </c>
      <c r="H88">
        <v>3.4498437898232952</v>
      </c>
      <c r="I88">
        <v>42684.525343000001</v>
      </c>
      <c r="J88">
        <v>22.070592214819019</v>
      </c>
      <c r="K88">
        <v>0.60311954367540133</v>
      </c>
      <c r="M88">
        <v>140.74</v>
      </c>
      <c r="N88">
        <v>107.82</v>
      </c>
    </row>
    <row r="89" spans="1:14">
      <c r="A89" s="1" t="s">
        <v>277</v>
      </c>
      <c r="B89" t="str">
        <f>HYPERLINK("https://www.suredividend.com/sure-analysis-POR/","Portland General Electric Co")</f>
        <v>Portland General Electric Co</v>
      </c>
      <c r="C89" t="s">
        <v>389</v>
      </c>
      <c r="D89">
        <v>48.12</v>
      </c>
      <c r="E89">
        <v>3.7614297589359927E-2</v>
      </c>
      <c r="F89">
        <v>5.232558139534893E-2</v>
      </c>
      <c r="G89">
        <v>5.883413386416847E-2</v>
      </c>
      <c r="H89">
        <v>1.763110905460479</v>
      </c>
      <c r="I89">
        <v>4261.1120179999998</v>
      </c>
      <c r="J89">
        <v>18.288034412660949</v>
      </c>
      <c r="K89">
        <v>0.67811957902326125</v>
      </c>
      <c r="M89">
        <v>55.45</v>
      </c>
      <c r="N89">
        <v>41.19</v>
      </c>
    </row>
    <row r="90" spans="1:14">
      <c r="A90" s="1" t="s">
        <v>168</v>
      </c>
      <c r="B90" t="str">
        <f>HYPERLINK("https://www.suredividend.com/sure-analysis-HPQ/","HP Inc")</f>
        <v>HP Inc</v>
      </c>
      <c r="C90" t="s">
        <v>386</v>
      </c>
      <c r="D90">
        <v>28.04</v>
      </c>
      <c r="E90">
        <v>3.7446504992867342E-2</v>
      </c>
      <c r="F90">
        <v>5.0000000000000037E-2</v>
      </c>
      <c r="G90">
        <v>0.13510395863413049</v>
      </c>
      <c r="H90">
        <v>0.99981700411838303</v>
      </c>
      <c r="I90">
        <v>28190.236425999999</v>
      </c>
      <c r="J90">
        <v>10.825743635184329</v>
      </c>
      <c r="K90">
        <v>0.39362874177889101</v>
      </c>
      <c r="M90">
        <v>40.479999999999997</v>
      </c>
      <c r="N90">
        <v>23.86</v>
      </c>
    </row>
    <row r="91" spans="1:14">
      <c r="A91" s="1" t="s">
        <v>33</v>
      </c>
      <c r="B91" t="str">
        <f>HYPERLINK("https://www.suredividend.com/sure-analysis-AMGN/","AMGEN Inc.")</f>
        <v>AMGEN Inc.</v>
      </c>
      <c r="C91" t="s">
        <v>384</v>
      </c>
      <c r="D91">
        <v>229.79</v>
      </c>
      <c r="E91">
        <v>3.7077331476565563E-2</v>
      </c>
      <c r="F91">
        <v>9.7938144329896781E-2</v>
      </c>
      <c r="G91">
        <v>0.1004267384562354</v>
      </c>
      <c r="H91">
        <v>7.858178584860549</v>
      </c>
      <c r="I91">
        <v>125382.960445</v>
      </c>
      <c r="J91">
        <v>19.136593474478019</v>
      </c>
      <c r="K91">
        <v>0.64889996571928565</v>
      </c>
      <c r="M91">
        <v>292.06</v>
      </c>
      <c r="N91">
        <v>219.1</v>
      </c>
    </row>
    <row r="92" spans="1:14">
      <c r="A92" s="1" t="s">
        <v>284</v>
      </c>
      <c r="B92" t="str">
        <f>HYPERLINK("https://www.suredividend.com/sure-analysis-RBCAA/","Republic Bancorp, Inc. (KY)")</f>
        <v>Republic Bancorp, Inc. (KY)</v>
      </c>
      <c r="C92" t="s">
        <v>388</v>
      </c>
      <c r="D92">
        <v>40.6</v>
      </c>
      <c r="E92">
        <v>3.694581280788177E-2</v>
      </c>
      <c r="F92">
        <v>9.6774193548387011E-2</v>
      </c>
      <c r="G92">
        <v>9.0966078501449665E-2</v>
      </c>
      <c r="H92">
        <v>1.3474867386686931</v>
      </c>
      <c r="I92">
        <v>773.66708700000004</v>
      </c>
      <c r="J92">
        <v>8.7801973171423722</v>
      </c>
      <c r="K92">
        <v>0.31631144100204062</v>
      </c>
      <c r="M92">
        <v>49.33</v>
      </c>
      <c r="N92">
        <v>37.86</v>
      </c>
    </row>
    <row r="93" spans="1:14">
      <c r="A93" s="1" t="s">
        <v>133</v>
      </c>
      <c r="B93" t="str">
        <f>HYPERLINK("https://www.suredividend.com/sure-analysis-research-database/","First Community Bankshares Inc.")</f>
        <v>First Community Bankshares Inc.</v>
      </c>
      <c r="C93" t="s">
        <v>388</v>
      </c>
      <c r="D93">
        <v>26.96</v>
      </c>
      <c r="E93">
        <v>3.6860003594186001E-2</v>
      </c>
      <c r="F93">
        <v>7.4074074074073959E-2</v>
      </c>
      <c r="G93">
        <v>0.10008210113886599</v>
      </c>
      <c r="H93">
        <v>1.1257045097664671</v>
      </c>
      <c r="I93">
        <v>495.61112100000003</v>
      </c>
      <c r="J93">
        <v>10.62130044747332</v>
      </c>
      <c r="K93">
        <v>0.39918599637108759</v>
      </c>
      <c r="M93">
        <v>39.04</v>
      </c>
      <c r="N93">
        <v>25.58</v>
      </c>
    </row>
    <row r="94" spans="1:14">
      <c r="A94" s="1" t="s">
        <v>22</v>
      </c>
      <c r="B94" t="str">
        <f>HYPERLINK("https://www.suredividend.com/sure-analysis-AEP/","American Electric Power Company Inc.")</f>
        <v>American Electric Power Company Inc.</v>
      </c>
      <c r="C94" t="s">
        <v>389</v>
      </c>
      <c r="D94">
        <v>90.7</v>
      </c>
      <c r="E94">
        <v>3.6604189636163173E-2</v>
      </c>
      <c r="F94">
        <v>6.4102564102564097E-2</v>
      </c>
      <c r="G94">
        <v>6.0076679385227871E-2</v>
      </c>
      <c r="H94">
        <v>3.1777097729207129</v>
      </c>
      <c r="I94">
        <v>45780.329156</v>
      </c>
      <c r="J94">
        <v>19.842375674536239</v>
      </c>
      <c r="K94">
        <v>0.70773046167499165</v>
      </c>
      <c r="M94">
        <v>103.66</v>
      </c>
      <c r="N94">
        <v>78.819999999999993</v>
      </c>
    </row>
    <row r="95" spans="1:14">
      <c r="A95" s="1" t="s">
        <v>268</v>
      </c>
      <c r="B95" t="str">
        <f>HYPERLINK("https://www.suredividend.com/sure-analysis-PFG/","Principal Financial Group Inc")</f>
        <v>Principal Financial Group Inc</v>
      </c>
      <c r="C95" t="s">
        <v>388</v>
      </c>
      <c r="D95">
        <v>69.989999999999995</v>
      </c>
      <c r="E95">
        <v>3.6576653807686807E-2</v>
      </c>
      <c r="F95">
        <v>0</v>
      </c>
      <c r="G95">
        <v>4.2402216277297899E-2</v>
      </c>
      <c r="H95">
        <v>2.5298661617156259</v>
      </c>
      <c r="I95">
        <v>21286.19701</v>
      </c>
      <c r="J95">
        <v>4.4239332051458966</v>
      </c>
      <c r="K95">
        <v>0.13421040645706239</v>
      </c>
      <c r="M95">
        <v>95.48</v>
      </c>
      <c r="N95">
        <v>60.09</v>
      </c>
    </row>
    <row r="96" spans="1:14">
      <c r="A96" s="1" t="s">
        <v>381</v>
      </c>
      <c r="B96" t="str">
        <f>HYPERLINK("https://www.suredividend.com/sure-analysis-XOM/","Exxon Mobil Corp.")</f>
        <v>Exxon Mobil Corp.</v>
      </c>
      <c r="C96" t="s">
        <v>395</v>
      </c>
      <c r="D96">
        <v>99.84</v>
      </c>
      <c r="E96">
        <v>3.6458333333333343E-2</v>
      </c>
      <c r="F96">
        <v>3.4090909090909172E-2</v>
      </c>
      <c r="G96">
        <v>2.1046469491485809E-2</v>
      </c>
      <c r="H96">
        <v>3.5373282574470282</v>
      </c>
      <c r="I96">
        <v>459247.81649599998</v>
      </c>
      <c r="J96">
        <v>8.2391068621506989</v>
      </c>
      <c r="K96">
        <v>0.26676683691154057</v>
      </c>
      <c r="M96">
        <v>118.72</v>
      </c>
      <c r="N96">
        <v>73.59</v>
      </c>
    </row>
    <row r="97" spans="1:14">
      <c r="A97" s="1" t="s">
        <v>189</v>
      </c>
      <c r="B97" t="str">
        <f>HYPERLINK("https://www.suredividend.com/sure-analysis-K/","Kellogg Co")</f>
        <v>Kellogg Co</v>
      </c>
      <c r="C97" t="s">
        <v>387</v>
      </c>
      <c r="D97">
        <v>64.739999999999995</v>
      </c>
      <c r="E97">
        <v>3.6453506333024403E-2</v>
      </c>
      <c r="F97">
        <v>1.7241379310344751E-2</v>
      </c>
      <c r="G97">
        <v>1.7868443545350221E-2</v>
      </c>
      <c r="H97">
        <v>2.3205713910288419</v>
      </c>
      <c r="I97">
        <v>22222.787400000001</v>
      </c>
      <c r="J97">
        <v>23.265824249249999</v>
      </c>
      <c r="K97">
        <v>0.83174601828990746</v>
      </c>
      <c r="M97">
        <v>75.87</v>
      </c>
      <c r="N97">
        <v>58.07</v>
      </c>
    </row>
    <row r="98" spans="1:14">
      <c r="A98" s="1" t="s">
        <v>313</v>
      </c>
      <c r="B98" t="str">
        <f>HYPERLINK("https://www.suredividend.com/sure-analysis-SON/","Sonoco Products Co.")</f>
        <v>Sonoco Products Co.</v>
      </c>
      <c r="C98" t="s">
        <v>392</v>
      </c>
      <c r="D98">
        <v>54.1</v>
      </c>
      <c r="E98">
        <v>3.6229205175600743E-2</v>
      </c>
      <c r="F98">
        <v>8.8888888888888795E-2</v>
      </c>
      <c r="G98">
        <v>3.6292713876201477E-2</v>
      </c>
      <c r="H98">
        <v>1.9479068135616779</v>
      </c>
      <c r="I98">
        <v>5901.8149519999997</v>
      </c>
      <c r="J98">
        <v>12.65297339524952</v>
      </c>
      <c r="K98">
        <v>0.41269212151730472</v>
      </c>
      <c r="M98">
        <v>65.44</v>
      </c>
      <c r="N98">
        <v>50.68</v>
      </c>
    </row>
    <row r="99" spans="1:14">
      <c r="A99" s="1" t="s">
        <v>310</v>
      </c>
      <c r="B99" t="str">
        <f>HYPERLINK("https://www.suredividend.com/sure-analysis-SMG/","Scotts Miracle-Gro Company")</f>
        <v>Scotts Miracle-Gro Company</v>
      </c>
      <c r="C99" t="s">
        <v>390</v>
      </c>
      <c r="D99">
        <v>73.23</v>
      </c>
      <c r="E99">
        <v>3.6050798852929132E-2</v>
      </c>
      <c r="F99">
        <v>0</v>
      </c>
      <c r="G99">
        <v>3.7137289336648172E-2</v>
      </c>
      <c r="H99">
        <v>2.6183759933273811</v>
      </c>
      <c r="I99">
        <v>4770.7921900000001</v>
      </c>
      <c r="J99" t="s">
        <v>393</v>
      </c>
      <c r="K99" t="s">
        <v>393</v>
      </c>
      <c r="M99">
        <v>135.56</v>
      </c>
      <c r="N99">
        <v>38.74</v>
      </c>
    </row>
    <row r="100" spans="1:14">
      <c r="A100" s="1" t="s">
        <v>356</v>
      </c>
      <c r="B100" t="str">
        <f>HYPERLINK("https://www.suredividend.com/sure-analysis-UNM/","Unum Group")</f>
        <v>Unum Group</v>
      </c>
      <c r="C100" t="s">
        <v>388</v>
      </c>
      <c r="D100">
        <v>36.65</v>
      </c>
      <c r="E100">
        <v>3.6016371077762621E-2</v>
      </c>
      <c r="F100">
        <v>9.9999999999999867E-2</v>
      </c>
      <c r="G100">
        <v>7.4873165575328748E-2</v>
      </c>
      <c r="H100">
        <v>1.2747659605035271</v>
      </c>
      <c r="I100">
        <v>8959.1288050000003</v>
      </c>
      <c r="J100">
        <v>6.817173036539339</v>
      </c>
      <c r="K100">
        <v>0.19611784007746569</v>
      </c>
      <c r="M100">
        <v>46.27</v>
      </c>
      <c r="N100">
        <v>25.42</v>
      </c>
    </row>
    <row r="101" spans="1:14">
      <c r="A101" s="1" t="s">
        <v>112</v>
      </c>
      <c r="B101" t="str">
        <f>HYPERLINK("https://www.suredividend.com/sure-analysis-DTE/","DTE Energy Co.")</f>
        <v>DTE Energy Co.</v>
      </c>
      <c r="C101" t="s">
        <v>389</v>
      </c>
      <c r="D101">
        <v>107.04</v>
      </c>
      <c r="E101">
        <v>3.5594170403587443E-2</v>
      </c>
      <c r="F101">
        <v>7.6271186440677985E-2</v>
      </c>
      <c r="G101">
        <v>1.5383388301063009E-2</v>
      </c>
      <c r="H101">
        <v>3.567896330738384</v>
      </c>
      <c r="I101">
        <v>22492.045567000001</v>
      </c>
      <c r="J101">
        <v>20.8259681175</v>
      </c>
      <c r="K101">
        <v>0.64753109450787372</v>
      </c>
      <c r="M101">
        <v>137.13999999999999</v>
      </c>
      <c r="N101">
        <v>99.84</v>
      </c>
    </row>
    <row r="102" spans="1:14">
      <c r="A102" s="1" t="s">
        <v>124</v>
      </c>
      <c r="B102" t="str">
        <f>HYPERLINK("https://www.suredividend.com/sure-analysis-ES/","Eversource Energy")</f>
        <v>Eversource Energy</v>
      </c>
      <c r="C102" t="s">
        <v>389</v>
      </c>
      <c r="D102">
        <v>75.91</v>
      </c>
      <c r="E102">
        <v>3.5568436306152029E-2</v>
      </c>
      <c r="F102">
        <v>5.8823529411764719E-2</v>
      </c>
      <c r="G102">
        <v>5.9747690880202597E-2</v>
      </c>
      <c r="H102">
        <v>2.5564423787463162</v>
      </c>
      <c r="I102">
        <v>26289.589582000001</v>
      </c>
      <c r="J102">
        <v>18.71311652780496</v>
      </c>
      <c r="K102">
        <v>0.63122034043118924</v>
      </c>
      <c r="M102">
        <v>92.2</v>
      </c>
      <c r="N102">
        <v>69.39</v>
      </c>
    </row>
    <row r="103" spans="1:14">
      <c r="A103" s="1" t="s">
        <v>262</v>
      </c>
      <c r="B103" t="str">
        <f>HYPERLINK("https://www.suredividend.com/sure-analysis-PB/","Prosperity Bancshares Inc.")</f>
        <v>Prosperity Bancshares Inc.</v>
      </c>
      <c r="C103" t="s">
        <v>388</v>
      </c>
      <c r="D103">
        <v>61.9</v>
      </c>
      <c r="E103">
        <v>3.5541195476575117E-2</v>
      </c>
      <c r="F103">
        <v>5.7692307692307709E-2</v>
      </c>
      <c r="G103">
        <v>8.8458907356642191E-2</v>
      </c>
      <c r="H103">
        <v>2.086113506982922</v>
      </c>
      <c r="I103">
        <v>6126.8080659999996</v>
      </c>
      <c r="J103">
        <v>11.68087926107116</v>
      </c>
      <c r="K103">
        <v>0.36406867486612948</v>
      </c>
      <c r="M103">
        <v>78.760000000000005</v>
      </c>
      <c r="N103">
        <v>63.21</v>
      </c>
    </row>
    <row r="104" spans="1:14">
      <c r="A104" s="1" t="s">
        <v>315</v>
      </c>
      <c r="B104" t="str">
        <f>HYPERLINK("https://www.suredividend.com/sure-analysis-SPTN/","SpartanNash Co")</f>
        <v>SpartanNash Co</v>
      </c>
      <c r="C104" t="s">
        <v>387</v>
      </c>
      <c r="D104">
        <v>24.27</v>
      </c>
      <c r="E104">
        <v>3.5434693036670788E-2</v>
      </c>
      <c r="F104">
        <v>2.3809523809523721E-2</v>
      </c>
      <c r="G104">
        <v>3.6175193719643062E-2</v>
      </c>
      <c r="H104">
        <v>0.83155694036918404</v>
      </c>
      <c r="I104">
        <v>980.67200100000002</v>
      </c>
      <c r="J104">
        <v>28.746907457935158</v>
      </c>
      <c r="K104">
        <v>0.88520006426355546</v>
      </c>
      <c r="M104">
        <v>37.5</v>
      </c>
      <c r="N104">
        <v>24.81</v>
      </c>
    </row>
    <row r="105" spans="1:14">
      <c r="A105" s="1" t="s">
        <v>322</v>
      </c>
      <c r="B105" t="str">
        <f>HYPERLINK("https://www.suredividend.com/sure-analysis-STT/","State Street Corp.")</f>
        <v>State Street Corp.</v>
      </c>
      <c r="C105" t="s">
        <v>388</v>
      </c>
      <c r="D105">
        <v>71.77</v>
      </c>
      <c r="E105">
        <v>3.5112163856764668E-2</v>
      </c>
      <c r="F105">
        <v>0.1052631578947367</v>
      </c>
      <c r="G105">
        <v>8.4471771197698553E-2</v>
      </c>
      <c r="H105">
        <v>2.9992451619844318</v>
      </c>
      <c r="I105">
        <v>31147.756007</v>
      </c>
      <c r="J105">
        <v>11.70968270925564</v>
      </c>
      <c r="K105">
        <v>0.41714119081841888</v>
      </c>
      <c r="M105">
        <v>94.74</v>
      </c>
      <c r="N105">
        <v>57.73</v>
      </c>
    </row>
    <row r="106" spans="1:14">
      <c r="A106" s="1" t="s">
        <v>337</v>
      </c>
      <c r="B106" t="str">
        <f>HYPERLINK("https://www.suredividend.com/sure-analysis-TMP/","Tompkins Financial Corp")</f>
        <v>Tompkins Financial Corp</v>
      </c>
      <c r="C106" t="s">
        <v>388</v>
      </c>
      <c r="D106">
        <v>68.36</v>
      </c>
      <c r="E106">
        <v>3.5108250438853128E-2</v>
      </c>
      <c r="F106">
        <v>5.2631578947368363E-2</v>
      </c>
      <c r="G106">
        <v>4.5639552591273169E-2</v>
      </c>
      <c r="H106">
        <v>2.3144450695836252</v>
      </c>
      <c r="I106">
        <v>1082.63491</v>
      </c>
      <c r="J106">
        <v>12.769932886058029</v>
      </c>
      <c r="K106">
        <v>0.392944833545607</v>
      </c>
      <c r="M106">
        <v>84.35</v>
      </c>
      <c r="N106">
        <v>66.989999999999995</v>
      </c>
    </row>
    <row r="107" spans="1:14">
      <c r="A107" s="1" t="s">
        <v>62</v>
      </c>
      <c r="B107" t="str">
        <f>HYPERLINK("https://www.suredividend.com/sure-analysis-BK/","Bank Of New York Mellon Corp")</f>
        <v>Bank Of New York Mellon Corp</v>
      </c>
      <c r="C107" t="s">
        <v>388</v>
      </c>
      <c r="D107">
        <v>42.58</v>
      </c>
      <c r="E107">
        <v>3.4758102395490841E-2</v>
      </c>
      <c r="F107">
        <v>8.8235294117646967E-2</v>
      </c>
      <c r="G107">
        <v>9.0430766134441898E-2</v>
      </c>
      <c r="H107">
        <v>1.4327182750537739</v>
      </c>
      <c r="I107">
        <v>41047.367231999997</v>
      </c>
      <c r="J107">
        <v>17.378224907756142</v>
      </c>
      <c r="K107">
        <v>0.49404078450130129</v>
      </c>
      <c r="M107">
        <v>52.26</v>
      </c>
      <c r="N107">
        <v>35.630000000000003</v>
      </c>
    </row>
    <row r="108" spans="1:14">
      <c r="A108" s="1" t="s">
        <v>223</v>
      </c>
      <c r="B108" t="str">
        <f>HYPERLINK("https://www.suredividend.com/sure-analysis-MDT/","Medtronic Plc")</f>
        <v>Medtronic Plc</v>
      </c>
      <c r="C108" t="s">
        <v>384</v>
      </c>
      <c r="D108">
        <v>78.290000000000006</v>
      </c>
      <c r="E108">
        <v>3.4742623579001153E-2</v>
      </c>
      <c r="F108">
        <v>7.9365079365079527E-2</v>
      </c>
      <c r="G108">
        <v>8.1309992088657523E-2</v>
      </c>
      <c r="H108">
        <v>2.6374339434972098</v>
      </c>
      <c r="I108">
        <v>110970.64148400001</v>
      </c>
      <c r="J108">
        <v>27.299050795640831</v>
      </c>
      <c r="K108">
        <v>0.86757695509776633</v>
      </c>
      <c r="M108">
        <v>111.55</v>
      </c>
      <c r="N108">
        <v>75.099999999999994</v>
      </c>
    </row>
    <row r="109" spans="1:14">
      <c r="A109" s="1" t="s">
        <v>358</v>
      </c>
      <c r="B109" t="str">
        <f>HYPERLINK("https://www.suredividend.com/sure-analysis-UPS/","United Parcel Service, Inc.")</f>
        <v>United Parcel Service, Inc.</v>
      </c>
      <c r="C109" t="s">
        <v>385</v>
      </c>
      <c r="D109">
        <v>186.79</v>
      </c>
      <c r="E109">
        <v>3.4691364634081061E-2</v>
      </c>
      <c r="F109">
        <v>6.578947368421062E-2</v>
      </c>
      <c r="G109">
        <v>0.12226320566437469</v>
      </c>
      <c r="H109">
        <v>6.0616325126231834</v>
      </c>
      <c r="I109">
        <v>160598.003577</v>
      </c>
      <c r="J109">
        <v>11.65412671852442</v>
      </c>
      <c r="K109">
        <v>0.45921458428963507</v>
      </c>
      <c r="M109">
        <v>214.55</v>
      </c>
      <c r="N109">
        <v>150.76</v>
      </c>
    </row>
    <row r="110" spans="1:14">
      <c r="A110" s="1" t="s">
        <v>242</v>
      </c>
      <c r="B110" t="str">
        <f>HYPERLINK("https://www.suredividend.com/sure-analysis-NFG/","National Fuel Gas Co.")</f>
        <v>National Fuel Gas Co.</v>
      </c>
      <c r="C110" t="s">
        <v>395</v>
      </c>
      <c r="D110">
        <v>54.89</v>
      </c>
      <c r="E110">
        <v>3.4614683913281097E-2</v>
      </c>
      <c r="F110">
        <v>4.3956043956044022E-2</v>
      </c>
      <c r="G110">
        <v>2.7375258152926959E-2</v>
      </c>
      <c r="H110">
        <v>1.8595450097185591</v>
      </c>
      <c r="I110">
        <v>5396.6327529999999</v>
      </c>
      <c r="J110">
        <v>8.9449225005718382</v>
      </c>
      <c r="K110">
        <v>0.2839000014837495</v>
      </c>
      <c r="M110">
        <v>74.319999999999993</v>
      </c>
      <c r="N110">
        <v>56.21</v>
      </c>
    </row>
    <row r="111" spans="1:14">
      <c r="A111" s="1" t="s">
        <v>216</v>
      </c>
      <c r="B111" t="str">
        <f>HYPERLINK("https://www.suredividend.com/sure-analysis-MAN/","ManpowerGroup")</f>
        <v>ManpowerGroup</v>
      </c>
      <c r="C111" t="s">
        <v>385</v>
      </c>
      <c r="D111">
        <v>78.75</v>
      </c>
      <c r="E111">
        <v>3.4539682539682537E-2</v>
      </c>
      <c r="F111" t="s">
        <v>393</v>
      </c>
      <c r="G111" t="s">
        <v>393</v>
      </c>
      <c r="H111">
        <v>2.6988404256647529</v>
      </c>
      <c r="I111">
        <v>4334.6472869999998</v>
      </c>
      <c r="J111">
        <v>11.5961671670947</v>
      </c>
      <c r="K111">
        <v>0.38119215051762051</v>
      </c>
      <c r="M111">
        <v>99.95</v>
      </c>
      <c r="N111">
        <v>63</v>
      </c>
    </row>
    <row r="112" spans="1:14">
      <c r="A112" s="1" t="s">
        <v>363</v>
      </c>
      <c r="B112" t="str">
        <f>HYPERLINK("https://www.suredividend.com/sure-analysis-WABC/","Westamerica Bancorporation")</f>
        <v>Westamerica Bancorporation</v>
      </c>
      <c r="C112" t="s">
        <v>388</v>
      </c>
      <c r="D112">
        <v>48.77</v>
      </c>
      <c r="E112">
        <v>3.4447406192331352E-2</v>
      </c>
      <c r="F112">
        <v>0</v>
      </c>
      <c r="G112">
        <v>9.805797673485328E-3</v>
      </c>
      <c r="H112">
        <v>1.6618149995906839</v>
      </c>
      <c r="I112">
        <v>1489.62193</v>
      </c>
      <c r="J112">
        <v>12.20661397807168</v>
      </c>
      <c r="K112">
        <v>0.36603854616534892</v>
      </c>
      <c r="M112">
        <v>63.38</v>
      </c>
      <c r="N112">
        <v>51.29</v>
      </c>
    </row>
    <row r="113" spans="1:14">
      <c r="A113" s="1" t="s">
        <v>164</v>
      </c>
      <c r="B113" t="str">
        <f>HYPERLINK("https://www.suredividend.com/sure-analysis-research-database/","Horace Mann Educators Corp.")</f>
        <v>Horace Mann Educators Corp.</v>
      </c>
      <c r="C113" t="s">
        <v>388</v>
      </c>
      <c r="D113">
        <v>32.630000000000003</v>
      </c>
      <c r="E113">
        <v>3.4403489920149001E-2</v>
      </c>
      <c r="F113">
        <v>3.125E-2</v>
      </c>
      <c r="G113">
        <v>2.9754778570413091E-2</v>
      </c>
      <c r="H113">
        <v>1.2632961498678861</v>
      </c>
      <c r="I113">
        <v>1499.5000130000001</v>
      </c>
      <c r="J113" t="s">
        <v>393</v>
      </c>
      <c r="K113" t="s">
        <v>393</v>
      </c>
      <c r="M113">
        <v>41.51</v>
      </c>
      <c r="N113">
        <v>32.03</v>
      </c>
    </row>
    <row r="114" spans="1:14">
      <c r="A114" s="1" t="s">
        <v>304</v>
      </c>
      <c r="B114" t="str">
        <f>HYPERLINK("https://www.suredividend.com/sure-analysis-research-database/","Simmons First National Corp.")</f>
        <v>Simmons First National Corp.</v>
      </c>
      <c r="C114" t="s">
        <v>388</v>
      </c>
      <c r="D114">
        <v>18.09</v>
      </c>
      <c r="E114">
        <v>3.4281952499174997E-2</v>
      </c>
      <c r="F114">
        <v>5.2631578947368363E-2</v>
      </c>
      <c r="G114">
        <v>5.9223841048812183E-2</v>
      </c>
      <c r="H114">
        <v>0.7500891206819511</v>
      </c>
      <c r="I114">
        <v>2782.1276600000001</v>
      </c>
      <c r="J114">
        <v>10.85022409325617</v>
      </c>
      <c r="K114">
        <v>0.36412093236987919</v>
      </c>
      <c r="M114">
        <v>28.21</v>
      </c>
      <c r="N114">
        <v>19.34</v>
      </c>
    </row>
    <row r="115" spans="1:14">
      <c r="A115" s="1" t="s">
        <v>67</v>
      </c>
      <c r="B115" t="str">
        <f>HYPERLINK("https://www.suredividend.com/sure-analysis-BMY/","Bristol-Myers Squibb Co.")</f>
        <v>Bristol-Myers Squibb Co.</v>
      </c>
      <c r="C115" t="s">
        <v>384</v>
      </c>
      <c r="D115">
        <v>66.53</v>
      </c>
      <c r="E115">
        <v>3.4270254020742519E-2</v>
      </c>
      <c r="F115">
        <v>5.555555555555558E-2</v>
      </c>
      <c r="G115">
        <v>7.3403415546556605E-2</v>
      </c>
      <c r="H115">
        <v>2.1655180371528591</v>
      </c>
      <c r="I115">
        <v>145445.17527499999</v>
      </c>
      <c r="J115">
        <v>22.988015690753912</v>
      </c>
      <c r="K115">
        <v>0.73407391089927421</v>
      </c>
      <c r="M115">
        <v>80.8</v>
      </c>
      <c r="N115">
        <v>64.94</v>
      </c>
    </row>
    <row r="116" spans="1:14">
      <c r="A116" s="1" t="s">
        <v>150</v>
      </c>
      <c r="B116" t="str">
        <f>HYPERLINK("https://www.suredividend.com/sure-analysis-GLW/","Corning, Inc.")</f>
        <v>Corning, Inc.</v>
      </c>
      <c r="C116" t="s">
        <v>386</v>
      </c>
      <c r="D116">
        <v>32.82</v>
      </c>
      <c r="E116">
        <v>3.4125533211456442E-2</v>
      </c>
      <c r="F116">
        <v>3.7037037037036979E-2</v>
      </c>
      <c r="G116">
        <v>9.2388464140373161E-2</v>
      </c>
      <c r="H116">
        <v>1.076983073194189</v>
      </c>
      <c r="I116">
        <v>29858.291894000002</v>
      </c>
      <c r="J116">
        <v>22.68867165193009</v>
      </c>
      <c r="K116">
        <v>0.69933965791830455</v>
      </c>
      <c r="M116">
        <v>37.6</v>
      </c>
      <c r="N116">
        <v>28.51</v>
      </c>
    </row>
    <row r="117" spans="1:14">
      <c r="A117" s="1" t="s">
        <v>55</v>
      </c>
      <c r="B117" t="str">
        <f>HYPERLINK("https://www.suredividend.com/sure-analysis-AXS/","Axis Capital Holdings Ltd")</f>
        <v>Axis Capital Holdings Ltd</v>
      </c>
      <c r="C117" t="s">
        <v>388</v>
      </c>
      <c r="D117">
        <v>51.7</v>
      </c>
      <c r="E117">
        <v>3.4042553191489362E-2</v>
      </c>
      <c r="F117">
        <v>2.325581395348841E-2</v>
      </c>
      <c r="G117">
        <v>2.441897433224605E-2</v>
      </c>
      <c r="H117">
        <v>1.7090249723801809</v>
      </c>
      <c r="I117">
        <v>5131.7719040000002</v>
      </c>
      <c r="J117">
        <v>26.612519143300162</v>
      </c>
      <c r="K117">
        <v>0.75956665439119164</v>
      </c>
      <c r="M117">
        <v>63.99</v>
      </c>
      <c r="N117">
        <v>47.78</v>
      </c>
    </row>
    <row r="118" spans="1:14">
      <c r="A118" s="1" t="s">
        <v>211</v>
      </c>
      <c r="B118" t="str">
        <f>HYPERLINK("https://www.suredividend.com/sure-analysis-LNT/","Alliant Energy Corp.")</f>
        <v>Alliant Energy Corp.</v>
      </c>
      <c r="C118" t="s">
        <v>389</v>
      </c>
      <c r="D118">
        <v>53.17</v>
      </c>
      <c r="E118">
        <v>3.4041752868158727E-2</v>
      </c>
      <c r="F118">
        <v>5.8479532163742583E-2</v>
      </c>
      <c r="G118">
        <v>6.1976130164973282E-2</v>
      </c>
      <c r="H118">
        <v>1.7141538887666681</v>
      </c>
      <c r="I118">
        <v>13076.730771</v>
      </c>
      <c r="J118">
        <v>19.062289752973761</v>
      </c>
      <c r="K118">
        <v>0.62789519735042787</v>
      </c>
      <c r="M118">
        <v>63.54</v>
      </c>
      <c r="N118">
        <v>46.4</v>
      </c>
    </row>
    <row r="119" spans="1:14">
      <c r="A119" s="1" t="s">
        <v>244</v>
      </c>
      <c r="B119" t="str">
        <f>HYPERLINK("https://www.suredividend.com/sure-analysis-research-database/","NiSource Inc")</f>
        <v>NiSource Inc</v>
      </c>
      <c r="C119" t="s">
        <v>389</v>
      </c>
      <c r="D119">
        <v>27.47</v>
      </c>
      <c r="E119">
        <v>3.4021031711916998E-2</v>
      </c>
      <c r="F119">
        <v>6.3829787234042534E-2</v>
      </c>
      <c r="G119">
        <v>5.0947640447383202E-2</v>
      </c>
      <c r="H119">
        <v>0.94238257842011208</v>
      </c>
      <c r="I119">
        <v>11426.470049</v>
      </c>
      <c r="J119">
        <v>15.25563424405874</v>
      </c>
      <c r="K119">
        <v>0.55762282746752201</v>
      </c>
      <c r="M119">
        <v>31.48</v>
      </c>
      <c r="N119">
        <v>23.34</v>
      </c>
    </row>
    <row r="120" spans="1:14">
      <c r="A120" s="1" t="s">
        <v>115</v>
      </c>
      <c r="B120" t="str">
        <f>HYPERLINK("https://www.suredividend.com/sure-analysis-ED/","Consolidated Edison, Inc.")</f>
        <v>Consolidated Edison, Inc.</v>
      </c>
      <c r="C120" t="s">
        <v>389</v>
      </c>
      <c r="D120">
        <v>95.63</v>
      </c>
      <c r="E120">
        <v>3.388058140750811E-2</v>
      </c>
      <c r="F120">
        <v>2.5316455696202441E-2</v>
      </c>
      <c r="G120">
        <v>2.5264205659415891E-2</v>
      </c>
      <c r="H120">
        <v>3.139349005446324</v>
      </c>
      <c r="I120">
        <v>32199.032953999998</v>
      </c>
      <c r="J120">
        <v>19.397007803909641</v>
      </c>
      <c r="K120">
        <v>0.6722374743996411</v>
      </c>
      <c r="M120">
        <v>100.42</v>
      </c>
      <c r="N120">
        <v>76.73</v>
      </c>
    </row>
    <row r="121" spans="1:14">
      <c r="A121" s="1" t="s">
        <v>32</v>
      </c>
      <c r="B121" t="str">
        <f>HYPERLINK("https://www.suredividend.com/sure-analysis-ALL/","Allstate Corp (The)")</f>
        <v>Allstate Corp (The)</v>
      </c>
      <c r="C121" t="s">
        <v>388</v>
      </c>
      <c r="D121">
        <v>105.11</v>
      </c>
      <c r="E121">
        <v>3.3869279802112073E-2</v>
      </c>
      <c r="F121">
        <v>4.705882352941182E-2</v>
      </c>
      <c r="G121">
        <v>0.14110717205297571</v>
      </c>
      <c r="H121">
        <v>3.4061932286846019</v>
      </c>
      <c r="I121">
        <v>33740.434460999997</v>
      </c>
      <c r="J121" t="s">
        <v>393</v>
      </c>
      <c r="K121" t="s">
        <v>393</v>
      </c>
      <c r="M121">
        <v>141.19</v>
      </c>
      <c r="N121">
        <v>109.63</v>
      </c>
    </row>
    <row r="122" spans="1:14">
      <c r="A122" s="1" t="s">
        <v>82</v>
      </c>
      <c r="B122" t="str">
        <f>HYPERLINK("https://www.suredividend.com/sure-analysis-CFR/","Cullen Frost Bankers Inc.")</f>
        <v>Cullen Frost Bankers Inc.</v>
      </c>
      <c r="C122" t="s">
        <v>388</v>
      </c>
      <c r="D122">
        <v>104.83</v>
      </c>
      <c r="E122">
        <v>3.31966040255652E-2</v>
      </c>
      <c r="F122">
        <v>0.15999999999999989</v>
      </c>
      <c r="G122">
        <v>5.3631849129711417E-2</v>
      </c>
      <c r="H122">
        <v>3.3290405761359638</v>
      </c>
      <c r="I122">
        <v>8510.3641879999996</v>
      </c>
      <c r="J122">
        <v>15.00244892244366</v>
      </c>
      <c r="K122">
        <v>0.37873044097109942</v>
      </c>
      <c r="M122">
        <v>158.59</v>
      </c>
      <c r="N122">
        <v>110.52</v>
      </c>
    </row>
    <row r="123" spans="1:14">
      <c r="A123" s="1" t="s">
        <v>368</v>
      </c>
      <c r="B123" t="str">
        <f>HYPERLINK("https://www.suredividend.com/sure-analysis-WEC/","WEC Energy Group Inc")</f>
        <v>WEC Energy Group Inc</v>
      </c>
      <c r="C123" t="s">
        <v>389</v>
      </c>
      <c r="D123">
        <v>94.25</v>
      </c>
      <c r="E123">
        <v>3.310344827586207E-2</v>
      </c>
      <c r="F123">
        <v>7.2164948453608213E-2</v>
      </c>
      <c r="G123">
        <v>7.1402027941007029E-2</v>
      </c>
      <c r="H123">
        <v>2.9110848457784848</v>
      </c>
      <c r="I123">
        <v>28259.779632000002</v>
      </c>
      <c r="J123">
        <v>20.069440829692489</v>
      </c>
      <c r="K123">
        <v>0.65417636983786187</v>
      </c>
      <c r="M123">
        <v>105.61</v>
      </c>
      <c r="N123">
        <v>78.88</v>
      </c>
    </row>
    <row r="124" spans="1:14">
      <c r="A124" s="1" t="s">
        <v>140</v>
      </c>
      <c r="B124" t="str">
        <f>HYPERLINK("https://www.suredividend.com/sure-analysis-FLO/","Flowers Foods, Inc.")</f>
        <v>Flowers Foods, Inc.</v>
      </c>
      <c r="C124" t="s">
        <v>387</v>
      </c>
      <c r="D124">
        <v>26.68</v>
      </c>
      <c r="E124">
        <v>3.2983508245877063E-2</v>
      </c>
      <c r="F124">
        <v>4.7619047619047672E-2</v>
      </c>
      <c r="G124">
        <v>4.0950396969256841E-2</v>
      </c>
      <c r="H124">
        <v>0.86980176895930406</v>
      </c>
      <c r="I124">
        <v>5909.355485</v>
      </c>
      <c r="J124">
        <v>25.873514561328228</v>
      </c>
      <c r="K124">
        <v>0.81289884949467661</v>
      </c>
      <c r="M124">
        <v>29.92</v>
      </c>
      <c r="N124">
        <v>23.53</v>
      </c>
    </row>
    <row r="125" spans="1:14">
      <c r="A125" s="1" t="s">
        <v>154</v>
      </c>
      <c r="B125" t="str">
        <f>HYPERLINK("https://www.suredividend.com/sure-analysis-GS/","Goldman Sachs Group, Inc.")</f>
        <v>Goldman Sachs Group, Inc.</v>
      </c>
      <c r="C125" t="s">
        <v>388</v>
      </c>
      <c r="D125">
        <v>303.54000000000002</v>
      </c>
      <c r="E125">
        <v>3.2944587204322327E-2</v>
      </c>
      <c r="F125">
        <v>0.25</v>
      </c>
      <c r="G125">
        <v>0.25594321575479012</v>
      </c>
      <c r="H125">
        <v>9.4063409365489576</v>
      </c>
      <c r="I125">
        <v>119776.30226900001</v>
      </c>
      <c r="J125">
        <v>11.12748999154682</v>
      </c>
      <c r="K125">
        <v>0.31291886016463599</v>
      </c>
      <c r="M125">
        <v>384.29</v>
      </c>
      <c r="N125">
        <v>272.01</v>
      </c>
    </row>
    <row r="126" spans="1:14">
      <c r="A126" s="1" t="s">
        <v>346</v>
      </c>
      <c r="B126" t="str">
        <f>HYPERLINK("https://www.suredividend.com/sure-analysis-TSN/","Tyson Foods, Inc.")</f>
        <v>Tyson Foods, Inc.</v>
      </c>
      <c r="C126" t="s">
        <v>387</v>
      </c>
      <c r="D126">
        <v>58.54</v>
      </c>
      <c r="E126">
        <v>3.2798086778271257E-2</v>
      </c>
      <c r="F126">
        <v>4.3478260869565188E-2</v>
      </c>
      <c r="G126">
        <v>9.8560543306117632E-2</v>
      </c>
      <c r="H126">
        <v>1.8595679602629851</v>
      </c>
      <c r="I126">
        <v>21300.884900000001</v>
      </c>
      <c r="J126">
        <v>6.953149242277024</v>
      </c>
      <c r="K126">
        <v>0.27631024669583731</v>
      </c>
      <c r="M126">
        <v>97.45</v>
      </c>
      <c r="N126">
        <v>58.24</v>
      </c>
    </row>
    <row r="127" spans="1:14">
      <c r="A127" s="1" t="s">
        <v>318</v>
      </c>
      <c r="B127" t="str">
        <f>HYPERLINK("https://www.suredividend.com/sure-analysis-SRE/","Sempra Energy")</f>
        <v>Sempra Energy</v>
      </c>
      <c r="C127" t="s">
        <v>389</v>
      </c>
      <c r="D127">
        <v>145.34</v>
      </c>
      <c r="E127">
        <v>3.2750791248107883E-2</v>
      </c>
      <c r="F127">
        <v>4.0909090909090777E-2</v>
      </c>
      <c r="G127">
        <v>5.0501048651411029E-2</v>
      </c>
      <c r="H127">
        <v>4.5304250045507217</v>
      </c>
      <c r="I127">
        <v>47465.394721999997</v>
      </c>
      <c r="J127">
        <v>22.667332722975161</v>
      </c>
      <c r="K127">
        <v>0.68435423029467091</v>
      </c>
      <c r="M127">
        <v>173.97</v>
      </c>
      <c r="N127">
        <v>133.82</v>
      </c>
    </row>
    <row r="128" spans="1:14">
      <c r="A128" s="1" t="s">
        <v>80</v>
      </c>
      <c r="B128" t="str">
        <f>HYPERLINK("https://www.suredividend.com/sure-analysis-CBU/","Community Bank System, Inc.")</f>
        <v>Community Bank System, Inc.</v>
      </c>
      <c r="C128" t="s">
        <v>388</v>
      </c>
      <c r="D128">
        <v>53.84</v>
      </c>
      <c r="E128">
        <v>3.268945022288261E-2</v>
      </c>
      <c r="F128">
        <v>2.325581395348841E-2</v>
      </c>
      <c r="G128">
        <v>5.291848906511043E-2</v>
      </c>
      <c r="H128">
        <v>1.7218814373372699</v>
      </c>
      <c r="I128">
        <v>3208.1303509999998</v>
      </c>
      <c r="J128">
        <v>17.105649492183328</v>
      </c>
      <c r="K128">
        <v>0.49765359460614739</v>
      </c>
      <c r="M128">
        <v>72.08</v>
      </c>
      <c r="N128">
        <v>54.63</v>
      </c>
    </row>
    <row r="129" spans="1:14">
      <c r="A129" s="1" t="s">
        <v>161</v>
      </c>
      <c r="B129" t="str">
        <f>HYPERLINK("https://www.suredividend.com/sure-analysis-research-database/","Heritage Financial Corp.")</f>
        <v>Heritage Financial Corp.</v>
      </c>
      <c r="C129" t="s">
        <v>388</v>
      </c>
      <c r="D129">
        <v>22.28</v>
      </c>
      <c r="E129">
        <v>3.2347437672076998E-2</v>
      </c>
      <c r="F129">
        <v>4.7619047619047672E-2</v>
      </c>
      <c r="G129">
        <v>5.291848906511043E-2</v>
      </c>
      <c r="H129">
        <v>0.84103337947402301</v>
      </c>
      <c r="I129">
        <v>912.77412200000003</v>
      </c>
      <c r="J129">
        <v>11.14838622290076</v>
      </c>
      <c r="K129">
        <v>0.36408371405801859</v>
      </c>
      <c r="M129">
        <v>34.08</v>
      </c>
      <c r="N129">
        <v>22.95</v>
      </c>
    </row>
    <row r="130" spans="1:14">
      <c r="A130" s="1" t="s">
        <v>91</v>
      </c>
      <c r="B130" t="str">
        <f>HYPERLINK("https://www.suredividend.com/sure-analysis-CMCSA/","Comcast Corp")</f>
        <v>Comcast Corp</v>
      </c>
      <c r="C130" t="s">
        <v>394</v>
      </c>
      <c r="D130">
        <v>36.03</v>
      </c>
      <c r="E130">
        <v>3.2195392728281987E-2</v>
      </c>
      <c r="F130">
        <v>8.0000000000000071E-2</v>
      </c>
      <c r="G130">
        <v>7.2808072187642514E-2</v>
      </c>
      <c r="H130">
        <v>1.0752398061903079</v>
      </c>
      <c r="I130">
        <v>156612.16300999999</v>
      </c>
      <c r="J130">
        <v>29.15884621303109</v>
      </c>
      <c r="K130">
        <v>0.88862793900025472</v>
      </c>
      <c r="M130">
        <v>47.99</v>
      </c>
      <c r="N130">
        <v>28.39</v>
      </c>
    </row>
    <row r="131" spans="1:14">
      <c r="A131" s="1" t="s">
        <v>364</v>
      </c>
      <c r="B131" t="str">
        <f>HYPERLINK("https://www.suredividend.com/sure-analysis-WAFD/","Washington Federal Inc.")</f>
        <v>Washington Federal Inc.</v>
      </c>
      <c r="C131" t="s">
        <v>388</v>
      </c>
      <c r="D131">
        <v>30.13</v>
      </c>
      <c r="E131">
        <v>3.1861931629605038E-2</v>
      </c>
      <c r="F131">
        <v>4.1666666666666741E-2</v>
      </c>
      <c r="G131">
        <v>8.0185187303563499E-2</v>
      </c>
      <c r="H131">
        <v>0.96004106144774504</v>
      </c>
      <c r="I131">
        <v>2253.5583940000001</v>
      </c>
      <c r="J131">
        <v>8.9807175385461466</v>
      </c>
      <c r="K131">
        <v>0.25001069308535029</v>
      </c>
      <c r="M131">
        <v>38.630000000000003</v>
      </c>
      <c r="N131">
        <v>28.85</v>
      </c>
    </row>
    <row r="132" spans="1:14">
      <c r="A132" s="1" t="s">
        <v>188</v>
      </c>
      <c r="B132" t="str">
        <f>HYPERLINK("https://www.suredividend.com/sure-analysis-JPM/","JPMorgan Chase &amp; Co.")</f>
        <v>JPMorgan Chase &amp; Co.</v>
      </c>
      <c r="C132" t="s">
        <v>388</v>
      </c>
      <c r="D132">
        <v>125.81</v>
      </c>
      <c r="E132">
        <v>3.1793975041729587E-2</v>
      </c>
      <c r="F132">
        <v>0</v>
      </c>
      <c r="G132">
        <v>0.1229551070568209</v>
      </c>
      <c r="H132">
        <v>3.960398331290456</v>
      </c>
      <c r="I132">
        <v>422842.44523999997</v>
      </c>
      <c r="J132">
        <v>11.78096637802129</v>
      </c>
      <c r="K132">
        <v>0.32784754398099802</v>
      </c>
      <c r="M132">
        <v>144.34</v>
      </c>
      <c r="N132">
        <v>100.54</v>
      </c>
    </row>
    <row r="133" spans="1:14">
      <c r="A133" s="1" t="s">
        <v>94</v>
      </c>
      <c r="B133" t="str">
        <f>HYPERLINK("https://www.suredividend.com/sure-analysis-CMS/","CMS Energy Corporation")</f>
        <v>CMS Energy Corporation</v>
      </c>
      <c r="C133" t="s">
        <v>389</v>
      </c>
      <c r="D133">
        <v>61.34</v>
      </c>
      <c r="E133">
        <v>3.1790022823606129E-2</v>
      </c>
      <c r="F133">
        <v>5.9782608695652328E-2</v>
      </c>
      <c r="G133">
        <v>6.3995312815083638E-2</v>
      </c>
      <c r="H133">
        <v>1.846018086250389</v>
      </c>
      <c r="I133">
        <v>17449.363268000001</v>
      </c>
      <c r="J133">
        <v>21.09959282766626</v>
      </c>
      <c r="K133">
        <v>0.64772564429838209</v>
      </c>
      <c r="M133">
        <v>71.61</v>
      </c>
      <c r="N133">
        <v>51.57</v>
      </c>
    </row>
    <row r="134" spans="1:14">
      <c r="A134" s="1" t="s">
        <v>116</v>
      </c>
      <c r="B134" t="str">
        <f>HYPERLINK("https://www.suredividend.com/sure-analysis-EGP/","Eastgroup Properties, Inc.")</f>
        <v>Eastgroup Properties, Inc.</v>
      </c>
      <c r="C134" t="s">
        <v>391</v>
      </c>
      <c r="D134">
        <v>158.56</v>
      </c>
      <c r="E134">
        <v>3.1533804238143288E-2</v>
      </c>
      <c r="F134">
        <v>0.13636363636363619</v>
      </c>
      <c r="G134">
        <v>0.14326262981831589</v>
      </c>
      <c r="H134">
        <v>4.6440472325190338</v>
      </c>
      <c r="I134">
        <v>6905.9777359999998</v>
      </c>
      <c r="J134">
        <v>37.09261763220934</v>
      </c>
      <c r="K134">
        <v>1.065148447825466</v>
      </c>
      <c r="M134">
        <v>212.25</v>
      </c>
      <c r="N134">
        <v>136.29</v>
      </c>
    </row>
    <row r="135" spans="1:14">
      <c r="A135" s="1" t="s">
        <v>64</v>
      </c>
      <c r="B135" t="str">
        <f>HYPERLINK("https://www.suredividend.com/sure-analysis-BLK/","Blackrock Inc.")</f>
        <v>Blackrock Inc.</v>
      </c>
      <c r="C135" t="s">
        <v>388</v>
      </c>
      <c r="D135">
        <v>636.71</v>
      </c>
      <c r="E135">
        <v>3.1411474611675642E-2</v>
      </c>
      <c r="F135">
        <v>2.4590163934426149E-2</v>
      </c>
      <c r="G135">
        <v>0.11664597110380991</v>
      </c>
      <c r="H135">
        <v>14.573177171861211</v>
      </c>
      <c r="I135">
        <v>104450.33596500001</v>
      </c>
      <c r="J135">
        <v>20.171945918215531</v>
      </c>
      <c r="K135">
        <v>0.42887513748855821</v>
      </c>
      <c r="M135">
        <v>781.77</v>
      </c>
      <c r="N135">
        <v>499.68</v>
      </c>
    </row>
    <row r="136" spans="1:14">
      <c r="A136" s="1" t="s">
        <v>279</v>
      </c>
      <c r="B136" t="str">
        <f>HYPERLINK("https://www.suredividend.com/sure-analysis-PRGO/","Perrigo Company plc")</f>
        <v>Perrigo Company plc</v>
      </c>
      <c r="C136" t="s">
        <v>384</v>
      </c>
      <c r="D136">
        <v>34.770000000000003</v>
      </c>
      <c r="E136">
        <v>3.1348863963186653E-2</v>
      </c>
      <c r="F136">
        <v>5.0000000000000037E-2</v>
      </c>
      <c r="G136">
        <v>7.5181564583320259E-2</v>
      </c>
      <c r="H136">
        <v>0.77401338504764905</v>
      </c>
      <c r="I136">
        <v>5217.6264689999998</v>
      </c>
      <c r="J136" t="s">
        <v>393</v>
      </c>
      <c r="K136" t="s">
        <v>393</v>
      </c>
      <c r="M136">
        <v>43.24</v>
      </c>
      <c r="N136">
        <v>30.65</v>
      </c>
    </row>
    <row r="137" spans="1:14">
      <c r="A137" s="1" t="s">
        <v>48</v>
      </c>
      <c r="B137" t="str">
        <f>HYPERLINK("https://www.suredividend.com/sure-analysis-research-database/","Atlantic Union Bankshares Corp")</f>
        <v>Atlantic Union Bankshares Corp</v>
      </c>
      <c r="C137" t="s">
        <v>388</v>
      </c>
      <c r="D137">
        <v>34.94</v>
      </c>
      <c r="E137">
        <v>3.1123445397957999E-2</v>
      </c>
      <c r="F137">
        <v>7.1428571428571397E-2</v>
      </c>
      <c r="G137">
        <v>5.4577943305794463E-2</v>
      </c>
      <c r="H137">
        <v>1.1581034032580459</v>
      </c>
      <c r="I137">
        <v>2780.384485</v>
      </c>
      <c r="J137">
        <v>12.48814008462015</v>
      </c>
      <c r="K137">
        <v>0.3899338058107899</v>
      </c>
      <c r="M137">
        <v>39.97</v>
      </c>
      <c r="N137">
        <v>29.5</v>
      </c>
    </row>
    <row r="138" spans="1:14">
      <c r="A138" s="1" t="s">
        <v>380</v>
      </c>
      <c r="B138" t="str">
        <f>HYPERLINK("https://www.suredividend.com/sure-analysis-XEL/","Xcel Energy, Inc.")</f>
        <v>Xcel Energy, Inc.</v>
      </c>
      <c r="C138" t="s">
        <v>389</v>
      </c>
      <c r="D138">
        <v>66.88</v>
      </c>
      <c r="E138">
        <v>3.1100478468899521E-2</v>
      </c>
      <c r="F138">
        <v>6.6666666666666652E-2</v>
      </c>
      <c r="G138">
        <v>6.4740930444701084E-2</v>
      </c>
      <c r="H138">
        <v>1.930321719255474</v>
      </c>
      <c r="I138">
        <v>35410.148990000002</v>
      </c>
      <c r="J138">
        <v>20.397551261290321</v>
      </c>
      <c r="K138">
        <v>0.60893429629510221</v>
      </c>
      <c r="M138">
        <v>76.63</v>
      </c>
      <c r="N138">
        <v>56.5</v>
      </c>
    </row>
    <row r="139" spans="1:14">
      <c r="A139" s="1" t="s">
        <v>98</v>
      </c>
      <c r="B139" t="str">
        <f>HYPERLINK("https://www.suredividend.com/sure-analysis-CSCO/","Cisco Systems, Inc.")</f>
        <v>Cisco Systems, Inc.</v>
      </c>
      <c r="C139" t="s">
        <v>386</v>
      </c>
      <c r="D139">
        <v>50.19</v>
      </c>
      <c r="E139">
        <v>3.1081888822474601E-2</v>
      </c>
      <c r="F139">
        <v>2.702702702702697E-2</v>
      </c>
      <c r="G139">
        <v>2.8617553510468241E-2</v>
      </c>
      <c r="H139">
        <v>1.5040243676139839</v>
      </c>
      <c r="I139">
        <v>201842.17306199999</v>
      </c>
      <c r="J139">
        <v>17.858978327885328</v>
      </c>
      <c r="K139">
        <v>0.55092467678167911</v>
      </c>
      <c r="M139">
        <v>55.59</v>
      </c>
      <c r="N139">
        <v>38.299999999999997</v>
      </c>
    </row>
    <row r="140" spans="1:14">
      <c r="A140" s="1" t="s">
        <v>142</v>
      </c>
      <c r="B140" t="str">
        <f>HYPERLINK("https://www.suredividend.com/sure-analysis-research-database/","First Merchants Corp.")</f>
        <v>First Merchants Corp.</v>
      </c>
      <c r="C140" t="s">
        <v>388</v>
      </c>
      <c r="D140">
        <v>34.78</v>
      </c>
      <c r="E140">
        <v>3.0974962033096999E-2</v>
      </c>
      <c r="F140">
        <v>0.1034482758620692</v>
      </c>
      <c r="G140">
        <v>7.7818067712725814E-2</v>
      </c>
      <c r="H140">
        <v>1.265327199052044</v>
      </c>
      <c r="I140">
        <v>2436.3082159999999</v>
      </c>
      <c r="J140">
        <v>11.03985452345672</v>
      </c>
      <c r="K140">
        <v>0.33210687639161263</v>
      </c>
      <c r="M140">
        <v>44.36</v>
      </c>
      <c r="N140">
        <v>33.29</v>
      </c>
    </row>
    <row r="141" spans="1:14">
      <c r="A141" s="1" t="s">
        <v>377</v>
      </c>
      <c r="B141" t="str">
        <f>HYPERLINK("https://www.suredividend.com/sure-analysis-WSM/","Williams-Sonoma, Inc.")</f>
        <v>Williams-Sonoma, Inc.</v>
      </c>
      <c r="C141" t="s">
        <v>392</v>
      </c>
      <c r="D141">
        <v>116.86</v>
      </c>
      <c r="E141">
        <v>3.0806092760568199E-2</v>
      </c>
      <c r="F141">
        <v>9.8591549295774739E-2</v>
      </c>
      <c r="G141">
        <v>0.12648452347095171</v>
      </c>
      <c r="H141">
        <v>3.8705312429888812</v>
      </c>
      <c r="I141">
        <v>8181.803559</v>
      </c>
      <c r="J141">
        <v>6.9581916421114212</v>
      </c>
      <c r="K141">
        <v>0.23344579270138011</v>
      </c>
      <c r="M141">
        <v>174.6</v>
      </c>
      <c r="N141">
        <v>99.7</v>
      </c>
    </row>
    <row r="142" spans="1:14">
      <c r="A142" s="1" t="s">
        <v>224</v>
      </c>
      <c r="B142" t="str">
        <f>HYPERLINK("https://www.suredividend.com/sure-analysis-MDU/","MDU Resources Group Inc")</f>
        <v>MDU Resources Group Inc</v>
      </c>
      <c r="C142" t="s">
        <v>390</v>
      </c>
      <c r="D142">
        <v>29.03</v>
      </c>
      <c r="E142">
        <v>3.065794006200482E-2</v>
      </c>
      <c r="F142" t="s">
        <v>393</v>
      </c>
      <c r="G142" t="s">
        <v>393</v>
      </c>
      <c r="H142">
        <v>0.86543861114643705</v>
      </c>
      <c r="I142">
        <v>6442.6599749999996</v>
      </c>
      <c r="J142">
        <v>17.531572304259448</v>
      </c>
      <c r="K142">
        <v>0.47814287908642927</v>
      </c>
      <c r="M142">
        <v>32.53</v>
      </c>
      <c r="N142">
        <v>24.37</v>
      </c>
    </row>
    <row r="143" spans="1:14">
      <c r="A143" s="1" t="s">
        <v>194</v>
      </c>
      <c r="B143" t="str">
        <f>HYPERLINK("https://www.suredividend.com/sure-analysis-KO/","Coca-Cola Co")</f>
        <v>Coca-Cola Co</v>
      </c>
      <c r="C143" t="s">
        <v>387</v>
      </c>
      <c r="D143">
        <v>60.02</v>
      </c>
      <c r="E143">
        <v>3.0656447850716431E-2</v>
      </c>
      <c r="F143">
        <v>4.5454545454545407E-2</v>
      </c>
      <c r="G143">
        <v>3.3567024578178728E-2</v>
      </c>
      <c r="H143">
        <v>1.741268720121097</v>
      </c>
      <c r="I143">
        <v>257178.55958199999</v>
      </c>
      <c r="J143">
        <v>26.952269920511419</v>
      </c>
      <c r="K143">
        <v>0.7950998722014142</v>
      </c>
      <c r="M143">
        <v>65.77</v>
      </c>
      <c r="N143">
        <v>53.63</v>
      </c>
    </row>
    <row r="144" spans="1:14">
      <c r="A144" s="1" t="s">
        <v>90</v>
      </c>
      <c r="B144" t="str">
        <f>HYPERLINK("https://www.suredividend.com/sure-analysis-CLX/","Clorox Co.")</f>
        <v>Clorox Co.</v>
      </c>
      <c r="C144" t="s">
        <v>387</v>
      </c>
      <c r="D144">
        <v>153.99</v>
      </c>
      <c r="E144">
        <v>3.0651340996168581E-2</v>
      </c>
      <c r="F144">
        <v>1.7241379310344751E-2</v>
      </c>
      <c r="G144">
        <v>4.21306158714021E-2</v>
      </c>
      <c r="H144">
        <v>4.6420524703676822</v>
      </c>
      <c r="I144">
        <v>19248.88953</v>
      </c>
      <c r="J144">
        <v>44.250320759172418</v>
      </c>
      <c r="K144">
        <v>1.322522071329824</v>
      </c>
      <c r="M144">
        <v>157.77000000000001</v>
      </c>
      <c r="N144">
        <v>117.54</v>
      </c>
    </row>
    <row r="145" spans="1:14">
      <c r="A145" s="1" t="s">
        <v>272</v>
      </c>
      <c r="B145" t="str">
        <f>HYPERLINK("https://www.suredividend.com/sure-analysis-research-database/","Douglas Dynamics Inc")</f>
        <v>Douglas Dynamics Inc</v>
      </c>
      <c r="C145" t="s">
        <v>392</v>
      </c>
      <c r="D145">
        <v>30.62</v>
      </c>
      <c r="E145">
        <v>3.0479478861013001E-2</v>
      </c>
      <c r="F145">
        <v>1.7241379310344751E-2</v>
      </c>
      <c r="G145">
        <v>2.168079166422654E-2</v>
      </c>
      <c r="H145">
        <v>1.1445044312310391</v>
      </c>
      <c r="I145">
        <v>859.39907700000003</v>
      </c>
      <c r="J145">
        <v>22.694599058571882</v>
      </c>
      <c r="K145">
        <v>0.69363904923093278</v>
      </c>
      <c r="M145">
        <v>41.4</v>
      </c>
      <c r="N145">
        <v>27.3</v>
      </c>
    </row>
    <row r="146" spans="1:14">
      <c r="A146" s="1" t="s">
        <v>95</v>
      </c>
      <c r="B146" t="str">
        <f>HYPERLINK("https://www.suredividend.com/sure-analysis-research-database/","Cohen &amp; Steers Inc.")</f>
        <v>Cohen &amp; Steers Inc.</v>
      </c>
      <c r="C146" t="s">
        <v>388</v>
      </c>
      <c r="D146">
        <v>63.29</v>
      </c>
      <c r="E146">
        <v>3.0392807880791E-2</v>
      </c>
      <c r="F146">
        <v>3.6363636363636383E-2</v>
      </c>
      <c r="G146">
        <v>9.6262279352954172E-2</v>
      </c>
      <c r="H146">
        <v>2.1788603969739682</v>
      </c>
      <c r="I146">
        <v>3520.2071890000002</v>
      </c>
      <c r="J146">
        <v>20.58095198413255</v>
      </c>
      <c r="K146">
        <v>0.62791365907030783</v>
      </c>
      <c r="M146">
        <v>84.67</v>
      </c>
      <c r="N146">
        <v>50.99</v>
      </c>
    </row>
    <row r="147" spans="1:14">
      <c r="A147" s="1" t="s">
        <v>25</v>
      </c>
      <c r="B147" t="str">
        <f>HYPERLINK("https://www.suredividend.com/sure-analysis-AGM/","Federal Agricultural Mortgage Corp.")</f>
        <v>Federal Agricultural Mortgage Corp.</v>
      </c>
      <c r="C147" t="s">
        <v>388</v>
      </c>
      <c r="D147">
        <v>126.14</v>
      </c>
      <c r="E147">
        <v>3.01252576502299E-2</v>
      </c>
      <c r="F147">
        <v>0.15789473684210531</v>
      </c>
      <c r="G147">
        <v>0.1365614939721804</v>
      </c>
      <c r="H147">
        <v>3.7507811933288959</v>
      </c>
      <c r="I147">
        <v>1496.2885650000001</v>
      </c>
      <c r="J147">
        <v>9.9105740884493887</v>
      </c>
      <c r="K147">
        <v>0.27042402259040349</v>
      </c>
      <c r="M147">
        <v>148.5</v>
      </c>
      <c r="N147">
        <v>88.53</v>
      </c>
    </row>
    <row r="148" spans="1:14">
      <c r="A148" s="1" t="s">
        <v>245</v>
      </c>
      <c r="B148" t="str">
        <f>HYPERLINK("https://www.suredividend.com/sure-analysis-NJR/","New Jersey Resources Corporation")</f>
        <v>New Jersey Resources Corporation</v>
      </c>
      <c r="C148" t="s">
        <v>389</v>
      </c>
      <c r="D148">
        <v>52.11</v>
      </c>
      <c r="E148">
        <v>2.9936672423719061E-2</v>
      </c>
      <c r="F148">
        <v>7.5862068965517171E-2</v>
      </c>
      <c r="G148">
        <v>7.4334741612167798E-2</v>
      </c>
      <c r="H148">
        <v>1.4871303113241889</v>
      </c>
      <c r="I148">
        <v>4975.1986459999998</v>
      </c>
      <c r="J148">
        <v>17.798378877298049</v>
      </c>
      <c r="K148">
        <v>0.51457796239591314</v>
      </c>
      <c r="M148">
        <v>53.53</v>
      </c>
      <c r="N148">
        <v>37.78</v>
      </c>
    </row>
    <row r="149" spans="1:14">
      <c r="A149" s="1" t="s">
        <v>283</v>
      </c>
      <c r="B149" t="str">
        <f>HYPERLINK("https://www.suredividend.com/sure-analysis-R/","Ryder System, Inc.")</f>
        <v>Ryder System, Inc.</v>
      </c>
      <c r="C149" t="s">
        <v>385</v>
      </c>
      <c r="D149">
        <v>83.12</v>
      </c>
      <c r="E149">
        <v>2.9836381135707409E-2</v>
      </c>
      <c r="F149" t="s">
        <v>393</v>
      </c>
      <c r="G149" t="s">
        <v>393</v>
      </c>
      <c r="H149">
        <v>2.4159918841529282</v>
      </c>
      <c r="I149">
        <v>4596.5709829999996</v>
      </c>
      <c r="J149">
        <v>5.332448936658932</v>
      </c>
      <c r="K149">
        <v>0.14262053625460019</v>
      </c>
      <c r="M149">
        <v>101.72</v>
      </c>
      <c r="N149">
        <v>60</v>
      </c>
    </row>
    <row r="150" spans="1:14">
      <c r="A150" s="1" t="s">
        <v>200</v>
      </c>
      <c r="B150" t="str">
        <f>HYPERLINK("https://www.suredividend.com/sure-analysis-research-database/","Lakeland Bancorp, Inc.")</f>
        <v>Lakeland Bancorp, Inc.</v>
      </c>
      <c r="C150" t="s">
        <v>388</v>
      </c>
      <c r="D150">
        <v>16.440000000000001</v>
      </c>
      <c r="E150">
        <v>2.9791213766941001E-2</v>
      </c>
      <c r="F150" t="s">
        <v>393</v>
      </c>
      <c r="G150" t="s">
        <v>393</v>
      </c>
      <c r="H150">
        <v>0.573182952875954</v>
      </c>
      <c r="I150">
        <v>1248.552017</v>
      </c>
      <c r="J150">
        <v>11.76403208653293</v>
      </c>
      <c r="K150">
        <v>0.351645983359481</v>
      </c>
      <c r="M150">
        <v>20.02</v>
      </c>
      <c r="N150">
        <v>13.57</v>
      </c>
    </row>
    <row r="151" spans="1:14">
      <c r="A151" s="1" t="s">
        <v>187</v>
      </c>
      <c r="B151" t="str">
        <f>HYPERLINK("https://www.suredividend.com/sure-analysis-JNJ/","Johnson &amp; Johnson")</f>
        <v>Johnson &amp; Johnson</v>
      </c>
      <c r="C151" t="s">
        <v>384</v>
      </c>
      <c r="D151">
        <v>152.38</v>
      </c>
      <c r="E151">
        <v>2.96626853917837E-2</v>
      </c>
      <c r="F151">
        <v>6.6037735849056478E-2</v>
      </c>
      <c r="G151">
        <v>4.6567361995332623E-2</v>
      </c>
      <c r="H151">
        <v>4.4739614504550227</v>
      </c>
      <c r="I151">
        <v>401112.17638800002</v>
      </c>
      <c r="J151">
        <v>22.357292034338109</v>
      </c>
      <c r="K151">
        <v>0.66477881878975076</v>
      </c>
      <c r="M151">
        <v>181.77</v>
      </c>
      <c r="N151">
        <v>151.22999999999999</v>
      </c>
    </row>
    <row r="152" spans="1:14">
      <c r="A152" s="1" t="s">
        <v>176</v>
      </c>
      <c r="B152" t="str">
        <f>HYPERLINK("https://www.suredividend.com/sure-analysis-IDA/","Idacorp, Inc.")</f>
        <v>Idacorp, Inc.</v>
      </c>
      <c r="C152" t="s">
        <v>389</v>
      </c>
      <c r="D152">
        <v>106.82</v>
      </c>
      <c r="E152">
        <v>2.9582475191911629E-2</v>
      </c>
      <c r="F152">
        <v>5.3333333333333448E-2</v>
      </c>
      <c r="G152">
        <v>6.0119970792216197E-2</v>
      </c>
      <c r="H152">
        <v>3.047240724252267</v>
      </c>
      <c r="I152">
        <v>5217.829831</v>
      </c>
      <c r="J152">
        <v>20.147461333451751</v>
      </c>
      <c r="K152">
        <v>0.5963289088556295</v>
      </c>
      <c r="M152">
        <v>115.55</v>
      </c>
      <c r="N152">
        <v>92.15</v>
      </c>
    </row>
    <row r="153" spans="1:14">
      <c r="A153" s="1" t="s">
        <v>180</v>
      </c>
      <c r="B153" t="str">
        <f>HYPERLINK("https://www.suredividend.com/sure-analysis-INGR/","Ingredion Inc")</f>
        <v>Ingredion Inc</v>
      </c>
      <c r="C153" t="s">
        <v>387</v>
      </c>
      <c r="D153">
        <v>96.6</v>
      </c>
      <c r="E153">
        <v>2.939958592132505E-2</v>
      </c>
      <c r="F153">
        <v>9.2307692307692202E-2</v>
      </c>
      <c r="G153">
        <v>3.424021252947318E-2</v>
      </c>
      <c r="H153">
        <v>2.6898537166277179</v>
      </c>
      <c r="I153">
        <v>6624.4899679999999</v>
      </c>
      <c r="J153">
        <v>13.464410503170731</v>
      </c>
      <c r="K153">
        <v>0.36646508400922589</v>
      </c>
      <c r="M153">
        <v>105.24</v>
      </c>
      <c r="N153">
        <v>77.58</v>
      </c>
    </row>
    <row r="154" spans="1:14">
      <c r="A154" s="1" t="s">
        <v>261</v>
      </c>
      <c r="B154" t="str">
        <f>HYPERLINK("https://www.suredividend.com/sure-analysis-PAYX/","Paychex Inc.")</f>
        <v>Paychex Inc.</v>
      </c>
      <c r="C154" t="s">
        <v>385</v>
      </c>
      <c r="D154">
        <v>107.53</v>
      </c>
      <c r="E154">
        <v>2.9387147772714589E-2</v>
      </c>
      <c r="F154">
        <v>0.19696969696969699</v>
      </c>
      <c r="G154">
        <v>7.1242545643384947E-2</v>
      </c>
      <c r="H154">
        <v>3.1286665745091828</v>
      </c>
      <c r="I154">
        <v>40635.393956</v>
      </c>
      <c r="J154">
        <v>27.707209843201969</v>
      </c>
      <c r="K154">
        <v>0.77442241943296608</v>
      </c>
      <c r="M154">
        <v>138.24</v>
      </c>
      <c r="N154">
        <v>104.23</v>
      </c>
    </row>
    <row r="155" spans="1:14">
      <c r="A155" s="1" t="s">
        <v>153</v>
      </c>
      <c r="B155" t="str">
        <f>HYPERLINK("https://www.suredividend.com/sure-analysis-GRC/","Gorman-Rupp Co.")</f>
        <v>Gorman-Rupp Co.</v>
      </c>
      <c r="C155" t="s">
        <v>385</v>
      </c>
      <c r="D155">
        <v>23.91</v>
      </c>
      <c r="E155">
        <v>2.9276453366792139E-2</v>
      </c>
      <c r="F155">
        <v>2.941176470588247E-2</v>
      </c>
      <c r="G155">
        <v>6.9610375725068785E-2</v>
      </c>
      <c r="H155">
        <v>0.68367760487048801</v>
      </c>
      <c r="I155">
        <v>727.78578500000003</v>
      </c>
      <c r="J155">
        <v>47.533523927241852</v>
      </c>
      <c r="K155">
        <v>1.165293343907428</v>
      </c>
      <c r="M155">
        <v>38.950000000000003</v>
      </c>
      <c r="N155">
        <v>22.39</v>
      </c>
    </row>
    <row r="156" spans="1:14">
      <c r="A156" s="1" t="s">
        <v>50</v>
      </c>
      <c r="B156" t="str">
        <f>HYPERLINK("https://www.suredividend.com/sure-analysis-AVGO/","Broadcom Inc")</f>
        <v>Broadcom Inc</v>
      </c>
      <c r="C156" t="s">
        <v>386</v>
      </c>
      <c r="D156">
        <v>630.97</v>
      </c>
      <c r="E156">
        <v>2.9161449831212261E-2</v>
      </c>
      <c r="F156">
        <v>0.1219512195121952</v>
      </c>
      <c r="G156">
        <v>0.21323227916786711</v>
      </c>
      <c r="H156">
        <v>16.730597807269529</v>
      </c>
      <c r="I156">
        <v>263812.61763300002</v>
      </c>
      <c r="J156">
        <v>23.506425878342689</v>
      </c>
      <c r="K156">
        <v>0.63062939341385349</v>
      </c>
      <c r="M156">
        <v>635.73</v>
      </c>
      <c r="N156">
        <v>411.63</v>
      </c>
    </row>
    <row r="157" spans="1:14">
      <c r="A157" s="1" t="s">
        <v>339</v>
      </c>
      <c r="B157" t="str">
        <f>HYPERLINK("https://www.suredividend.com/sure-analysis-research-database/","Townebank Portsmouth VA")</f>
        <v>Townebank Portsmouth VA</v>
      </c>
      <c r="C157" t="s">
        <v>388</v>
      </c>
      <c r="D157">
        <v>27.3</v>
      </c>
      <c r="E157">
        <v>2.9078607057883E-2</v>
      </c>
      <c r="F157">
        <v>0.14999999999999991</v>
      </c>
      <c r="G157">
        <v>0.1043836287043816</v>
      </c>
      <c r="H157">
        <v>0.87991864957154808</v>
      </c>
      <c r="I157">
        <v>1563.7964629999999</v>
      </c>
      <c r="J157">
        <v>0</v>
      </c>
      <c r="K157" t="s">
        <v>393</v>
      </c>
      <c r="M157">
        <v>33.18</v>
      </c>
      <c r="N157">
        <v>25.77</v>
      </c>
    </row>
    <row r="158" spans="1:14">
      <c r="A158" s="1" t="s">
        <v>159</v>
      </c>
      <c r="B158" t="str">
        <f>HYPERLINK("https://www.suredividend.com/sure-analysis-HD/","Home Depot, Inc.")</f>
        <v>Home Depot, Inc.</v>
      </c>
      <c r="C158" t="s">
        <v>392</v>
      </c>
      <c r="D158">
        <v>288.39</v>
      </c>
      <c r="E158">
        <v>2.8988522486910091E-2</v>
      </c>
      <c r="F158">
        <v>9.9999999999999867E-2</v>
      </c>
      <c r="G158">
        <v>0.15202475729130449</v>
      </c>
      <c r="H158">
        <v>7.5294625132360311</v>
      </c>
      <c r="I158">
        <v>305531.15691299998</v>
      </c>
      <c r="J158">
        <v>17.872545008093009</v>
      </c>
      <c r="K158">
        <v>0.4541292227524748</v>
      </c>
      <c r="M158">
        <v>347.25</v>
      </c>
      <c r="N158">
        <v>261.20999999999998</v>
      </c>
    </row>
    <row r="159" spans="1:14">
      <c r="A159" s="1" t="s">
        <v>264</v>
      </c>
      <c r="B159" t="str">
        <f>HYPERLINK("https://www.suredividend.com/sure-analysis-PEP/","PepsiCo Inc")</f>
        <v>PepsiCo Inc</v>
      </c>
      <c r="C159" t="s">
        <v>387</v>
      </c>
      <c r="D159">
        <v>175.13</v>
      </c>
      <c r="E159">
        <v>2.889282247473305E-2</v>
      </c>
      <c r="F159">
        <v>6.9767441860465018E-2</v>
      </c>
      <c r="G159">
        <v>4.3942994891310823E-2</v>
      </c>
      <c r="H159">
        <v>4.5551025322630103</v>
      </c>
      <c r="I159">
        <v>238471.06536499999</v>
      </c>
      <c r="J159">
        <v>26.7644293339394</v>
      </c>
      <c r="K159">
        <v>0.70951752838987703</v>
      </c>
      <c r="M159">
        <v>185.59</v>
      </c>
      <c r="N159">
        <v>149.35</v>
      </c>
    </row>
    <row r="160" spans="1:14">
      <c r="A160" s="1" t="s">
        <v>169</v>
      </c>
      <c r="B160" t="str">
        <f>HYPERLINK("https://www.suredividend.com/sure-analysis-HRL/","Hormel Foods Corp.")</f>
        <v>Hormel Foods Corp.</v>
      </c>
      <c r="C160" t="s">
        <v>387</v>
      </c>
      <c r="D160">
        <v>38.35</v>
      </c>
      <c r="E160">
        <v>2.8683181225554109E-2</v>
      </c>
      <c r="F160">
        <v>5.7692307692307709E-2</v>
      </c>
      <c r="G160">
        <v>7.9608473046602901E-2</v>
      </c>
      <c r="H160">
        <v>1.046085118391836</v>
      </c>
      <c r="I160">
        <v>22205.632661</v>
      </c>
      <c r="J160">
        <v>22.702012157309571</v>
      </c>
      <c r="K160">
        <v>0.58768826875945845</v>
      </c>
      <c r="M160">
        <v>54.18</v>
      </c>
      <c r="N160">
        <v>40.06</v>
      </c>
    </row>
    <row r="161" spans="1:14">
      <c r="A161" s="1" t="s">
        <v>88</v>
      </c>
      <c r="B161" t="str">
        <f>HYPERLINK("https://www.suredividend.com/sure-analysis-CINF/","Cincinnati Financial Corp.")</f>
        <v>Cincinnati Financial Corp.</v>
      </c>
      <c r="C161" t="s">
        <v>388</v>
      </c>
      <c r="D161">
        <v>104.91</v>
      </c>
      <c r="E161">
        <v>2.8595939376608519E-2</v>
      </c>
      <c r="F161">
        <v>8.6956521739130377E-2</v>
      </c>
      <c r="G161">
        <v>7.19069301576436E-2</v>
      </c>
      <c r="H161">
        <v>2.7331390929828538</v>
      </c>
      <c r="I161">
        <v>19035.541709000001</v>
      </c>
      <c r="J161" t="s">
        <v>393</v>
      </c>
      <c r="K161" t="s">
        <v>393</v>
      </c>
      <c r="M161">
        <v>140.47999999999999</v>
      </c>
      <c r="N161">
        <v>88.09</v>
      </c>
    </row>
    <row r="162" spans="1:14">
      <c r="A162" s="1" t="s">
        <v>72</v>
      </c>
      <c r="B162" t="str">
        <f>HYPERLINK("https://www.suredividend.com/sure-analysis-CAH/","Cardinal Health, Inc.")</f>
        <v>Cardinal Health, Inc.</v>
      </c>
      <c r="C162" t="s">
        <v>384</v>
      </c>
      <c r="D162">
        <v>69.62</v>
      </c>
      <c r="E162">
        <v>2.8440103418557881E-2</v>
      </c>
      <c r="F162">
        <v>9.9837000814995136E-3</v>
      </c>
      <c r="G162">
        <v>1.400528535156087E-2</v>
      </c>
      <c r="H162">
        <v>1.9568092316596479</v>
      </c>
      <c r="I162">
        <v>19374.457236999999</v>
      </c>
      <c r="J162" t="s">
        <v>393</v>
      </c>
      <c r="K162" t="s">
        <v>393</v>
      </c>
      <c r="M162">
        <v>81.05</v>
      </c>
      <c r="N162">
        <v>48.57</v>
      </c>
    </row>
    <row r="163" spans="1:14">
      <c r="A163" s="1" t="s">
        <v>317</v>
      </c>
      <c r="B163" t="str">
        <f>HYPERLINK("https://www.suredividend.com/sure-analysis-SRCE/","1st Source Corp.")</f>
        <v>1st Source Corp.</v>
      </c>
      <c r="C163" t="s">
        <v>388</v>
      </c>
      <c r="D163">
        <v>45.1</v>
      </c>
      <c r="E163">
        <v>2.8381374722838141E-2</v>
      </c>
      <c r="F163">
        <v>3.2258064516128997E-2</v>
      </c>
      <c r="G163">
        <v>5.9223841048812183E-2</v>
      </c>
      <c r="H163">
        <v>1.2584959885343989</v>
      </c>
      <c r="I163">
        <v>1228.855746</v>
      </c>
      <c r="J163">
        <v>10.28210707950533</v>
      </c>
      <c r="K163">
        <v>0.26001983234181802</v>
      </c>
      <c r="M163">
        <v>59.23</v>
      </c>
      <c r="N163">
        <v>41.51</v>
      </c>
    </row>
    <row r="164" spans="1:14">
      <c r="A164" s="1" t="s">
        <v>349</v>
      </c>
      <c r="B164" t="str">
        <f>HYPERLINK("https://www.suredividend.com/sure-analysis-TXN/","Texas Instruments Inc.")</f>
        <v>Texas Instruments Inc.</v>
      </c>
      <c r="C164" t="s">
        <v>386</v>
      </c>
      <c r="D164">
        <v>175.71</v>
      </c>
      <c r="E164">
        <v>2.8228330772295258E-2</v>
      </c>
      <c r="F164">
        <v>7.8260869565217384E-2</v>
      </c>
      <c r="G164">
        <v>0.1486983549970351</v>
      </c>
      <c r="H164">
        <v>4.7294733164504752</v>
      </c>
      <c r="I164">
        <v>159202.234066</v>
      </c>
      <c r="J164">
        <v>18.278098055752011</v>
      </c>
      <c r="K164">
        <v>0.50260077751864773</v>
      </c>
      <c r="M164">
        <v>185.99</v>
      </c>
      <c r="N164">
        <v>141.37</v>
      </c>
    </row>
    <row r="165" spans="1:14">
      <c r="A165" s="1" t="s">
        <v>235</v>
      </c>
      <c r="B165" t="str">
        <f>HYPERLINK("https://www.suredividend.com/sure-analysis-MRK/","Merck &amp; Co Inc")</f>
        <v>Merck &amp; Co Inc</v>
      </c>
      <c r="C165" t="s">
        <v>384</v>
      </c>
      <c r="D165">
        <v>104.1</v>
      </c>
      <c r="E165">
        <v>2.8049951969260328E-2</v>
      </c>
      <c r="F165">
        <v>5.7971014492753437E-2</v>
      </c>
      <c r="G165">
        <v>8.7467595231095263E-2</v>
      </c>
      <c r="H165">
        <v>2.7698919122193399</v>
      </c>
      <c r="I165">
        <v>271324.762873</v>
      </c>
      <c r="J165">
        <v>18.687565457191269</v>
      </c>
      <c r="K165">
        <v>0.48509490581774778</v>
      </c>
      <c r="M165">
        <v>115.49</v>
      </c>
      <c r="N165">
        <v>73.709999999999994</v>
      </c>
    </row>
    <row r="166" spans="1:14">
      <c r="A166" s="1" t="s">
        <v>334</v>
      </c>
      <c r="B166" t="str">
        <f>HYPERLINK("https://www.suredividend.com/sure-analysis-THFF/","First Financial Corp. - Indiana")</f>
        <v>First Financial Corp. - Indiana</v>
      </c>
      <c r="C166" t="s">
        <v>388</v>
      </c>
      <c r="D166">
        <v>38.53</v>
      </c>
      <c r="E166">
        <v>2.8030106410589149E-2</v>
      </c>
      <c r="F166" t="s">
        <v>393</v>
      </c>
      <c r="G166" t="s">
        <v>393</v>
      </c>
      <c r="H166">
        <v>1.0776434130498449</v>
      </c>
      <c r="I166">
        <v>525.00065300000006</v>
      </c>
      <c r="J166">
        <v>8.4696649672506705</v>
      </c>
      <c r="K166">
        <v>0.21552868260996899</v>
      </c>
      <c r="M166">
        <v>49.68</v>
      </c>
      <c r="N166">
        <v>40.82</v>
      </c>
    </row>
    <row r="167" spans="1:14">
      <c r="A167" s="1" t="s">
        <v>311</v>
      </c>
      <c r="B167" t="str">
        <f>HYPERLINK("https://www.suredividend.com/sure-analysis-SNA/","Snap-on, Inc.")</f>
        <v>Snap-on, Inc.</v>
      </c>
      <c r="C167" t="s">
        <v>385</v>
      </c>
      <c r="D167">
        <v>231.74</v>
      </c>
      <c r="E167">
        <v>2.7962371623371021E-2</v>
      </c>
      <c r="F167">
        <v>0.14084507042253519</v>
      </c>
      <c r="G167">
        <v>0.14588288398380711</v>
      </c>
      <c r="H167">
        <v>6.022539033396658</v>
      </c>
      <c r="I167">
        <v>13283.925196</v>
      </c>
      <c r="J167">
        <v>14.570500378962381</v>
      </c>
      <c r="K167">
        <v>0.35805820650396297</v>
      </c>
      <c r="M167">
        <v>258.07</v>
      </c>
      <c r="N167">
        <v>186.37</v>
      </c>
    </row>
    <row r="168" spans="1:14">
      <c r="A168" s="1" t="s">
        <v>93</v>
      </c>
      <c r="B168" t="str">
        <f>HYPERLINK("https://www.suredividend.com/sure-analysis-CMI/","Cummins Inc.")</f>
        <v>Cummins Inc.</v>
      </c>
      <c r="C168" t="s">
        <v>385</v>
      </c>
      <c r="D168">
        <v>225.21</v>
      </c>
      <c r="E168">
        <v>2.788508503174815E-2</v>
      </c>
      <c r="F168">
        <v>8.2758620689655338E-2</v>
      </c>
      <c r="G168">
        <v>7.7693291364427264E-2</v>
      </c>
      <c r="H168">
        <v>6.1025680981505062</v>
      </c>
      <c r="I168">
        <v>36483.298562999997</v>
      </c>
      <c r="J168">
        <v>16.961087198214781</v>
      </c>
      <c r="K168">
        <v>0.40360900120043031</v>
      </c>
      <c r="M168">
        <v>258.5</v>
      </c>
      <c r="N168">
        <v>180.73</v>
      </c>
    </row>
    <row r="169" spans="1:14">
      <c r="A169" s="1" t="s">
        <v>166</v>
      </c>
      <c r="B169" t="str">
        <f>HYPERLINK("https://www.suredividend.com/sure-analysis-research-database/","Home Bancshares Inc")</f>
        <v>Home Bancshares Inc</v>
      </c>
      <c r="C169" t="s">
        <v>388</v>
      </c>
      <c r="D169">
        <v>21.16</v>
      </c>
      <c r="E169">
        <v>2.7589102616216998E-2</v>
      </c>
      <c r="F169">
        <v>9.0909090909090828E-2</v>
      </c>
      <c r="G169">
        <v>0.1035092145999348</v>
      </c>
      <c r="H169">
        <v>0.66820806536478305</v>
      </c>
      <c r="I169">
        <v>4931.364955</v>
      </c>
      <c r="J169">
        <v>16.15453268018948</v>
      </c>
      <c r="K169">
        <v>0.42561023271642229</v>
      </c>
      <c r="M169">
        <v>25.88</v>
      </c>
      <c r="N169">
        <v>19.27</v>
      </c>
    </row>
    <row r="170" spans="1:14">
      <c r="A170" s="1" t="s">
        <v>118</v>
      </c>
      <c r="B170" t="str">
        <f>HYPERLINK("https://www.suredividend.com/sure-analysis-ELS/","Equity Lifestyle Properties Inc.")</f>
        <v>Equity Lifestyle Properties Inc.</v>
      </c>
      <c r="C170" t="s">
        <v>391</v>
      </c>
      <c r="D170">
        <v>64.91</v>
      </c>
      <c r="E170">
        <v>2.757664458480974E-2</v>
      </c>
      <c r="F170">
        <v>0.1310344827586207</v>
      </c>
      <c r="G170" t="s">
        <v>393</v>
      </c>
      <c r="H170">
        <v>1.6246370179104941</v>
      </c>
      <c r="I170">
        <v>12673.199221000001</v>
      </c>
      <c r="J170">
        <v>44.528142694906379</v>
      </c>
      <c r="K170">
        <v>1.112765080760612</v>
      </c>
      <c r="M170">
        <v>82.26</v>
      </c>
      <c r="N170">
        <v>56.55</v>
      </c>
    </row>
    <row r="171" spans="1:14">
      <c r="A171" s="1" t="s">
        <v>24</v>
      </c>
      <c r="B171" t="str">
        <f>HYPERLINK("https://www.suredividend.com/sure-analysis-AFL/","Aflac Inc.")</f>
        <v>Aflac Inc.</v>
      </c>
      <c r="C171" t="s">
        <v>388</v>
      </c>
      <c r="D171">
        <v>61.29</v>
      </c>
      <c r="E171">
        <v>2.7410670582476749E-2</v>
      </c>
      <c r="F171">
        <v>4.9999999999999822E-2</v>
      </c>
      <c r="G171">
        <v>0.10066508085209661</v>
      </c>
      <c r="H171">
        <v>1.605731211879853</v>
      </c>
      <c r="I171">
        <v>41899.559868999997</v>
      </c>
      <c r="J171">
        <v>9.9737109900309449</v>
      </c>
      <c r="K171">
        <v>0.24366179239451491</v>
      </c>
      <c r="M171">
        <v>73.58</v>
      </c>
      <c r="N171">
        <v>51.13</v>
      </c>
    </row>
    <row r="172" spans="1:14">
      <c r="A172" s="1" t="s">
        <v>357</v>
      </c>
      <c r="B172" t="str">
        <f>HYPERLINK("https://www.suredividend.com/sure-analysis-UNP/","Union Pacific Corp.")</f>
        <v>Union Pacific Corp.</v>
      </c>
      <c r="C172" t="s">
        <v>385</v>
      </c>
      <c r="D172">
        <v>190.01</v>
      </c>
      <c r="E172">
        <v>2.73669806852271E-2</v>
      </c>
      <c r="F172">
        <v>0.1016949152542375</v>
      </c>
      <c r="G172">
        <v>0.1223391137583876</v>
      </c>
      <c r="H172">
        <v>5.1508760259765056</v>
      </c>
      <c r="I172">
        <v>128101.727302</v>
      </c>
      <c r="J172">
        <v>18.305476893706771</v>
      </c>
      <c r="K172">
        <v>0.45948938679540641</v>
      </c>
      <c r="M172">
        <v>272.23</v>
      </c>
      <c r="N172">
        <v>181.35</v>
      </c>
    </row>
    <row r="173" spans="1:14">
      <c r="A173" s="1" t="s">
        <v>81</v>
      </c>
      <c r="B173" t="str">
        <f>HYPERLINK("https://www.suredividend.com/sure-analysis-CE/","Celanese Corp")</f>
        <v>Celanese Corp</v>
      </c>
      <c r="C173" t="s">
        <v>390</v>
      </c>
      <c r="D173">
        <v>103</v>
      </c>
      <c r="E173">
        <v>2.7184466019417479E-2</v>
      </c>
      <c r="F173">
        <v>2.941176470588247E-2</v>
      </c>
      <c r="G173">
        <v>5.3272768583090491E-2</v>
      </c>
      <c r="H173">
        <v>2.7342674179105861</v>
      </c>
      <c r="I173">
        <v>13509.367901</v>
      </c>
      <c r="J173">
        <v>7.1327180048152066</v>
      </c>
      <c r="K173">
        <v>0.1576855488991111</v>
      </c>
      <c r="M173">
        <v>158.33000000000001</v>
      </c>
      <c r="N173">
        <v>85.57</v>
      </c>
    </row>
    <row r="174" spans="1:14">
      <c r="A174" s="1" t="s">
        <v>333</v>
      </c>
      <c r="B174" t="str">
        <f>HYPERLINK("https://www.suredividend.com/sure-analysis-TGT/","Target Corp")</f>
        <v>Target Corp</v>
      </c>
      <c r="C174" t="s">
        <v>387</v>
      </c>
      <c r="D174">
        <v>159.36000000000001</v>
      </c>
      <c r="E174">
        <v>2.710843373493976E-2</v>
      </c>
      <c r="F174">
        <v>0.2</v>
      </c>
      <c r="G174">
        <v>0.11032151746146</v>
      </c>
      <c r="H174">
        <v>4.0903976275097138</v>
      </c>
      <c r="I174">
        <v>76403.596579999998</v>
      </c>
      <c r="J174">
        <v>22.158815713457081</v>
      </c>
      <c r="K174">
        <v>0.55576054721599366</v>
      </c>
      <c r="M174">
        <v>247.48</v>
      </c>
      <c r="N174">
        <v>133.72999999999999</v>
      </c>
    </row>
    <row r="175" spans="1:14">
      <c r="A175" s="1" t="s">
        <v>379</v>
      </c>
      <c r="B175" t="str">
        <f>HYPERLINK("https://www.suredividend.com/sure-analysis-WTRG/","Essential Utilities Inc")</f>
        <v>Essential Utilities Inc</v>
      </c>
      <c r="C175" t="s">
        <v>389</v>
      </c>
      <c r="D175">
        <v>42.56</v>
      </c>
      <c r="E175">
        <v>2.702067669172932E-2</v>
      </c>
      <c r="F175">
        <v>7.0096942580164301E-2</v>
      </c>
      <c r="G175">
        <v>5.5571258030606252E-2</v>
      </c>
      <c r="H175">
        <v>1.1135044987227101</v>
      </c>
      <c r="I175">
        <v>11096.574543000001</v>
      </c>
      <c r="J175">
        <v>23.851444624245278</v>
      </c>
      <c r="K175">
        <v>0.62909858684898878</v>
      </c>
      <c r="M175">
        <v>51.43</v>
      </c>
      <c r="N175">
        <v>37.770000000000003</v>
      </c>
    </row>
    <row r="176" spans="1:14">
      <c r="A176" s="1" t="s">
        <v>329</v>
      </c>
      <c r="B176" t="str">
        <f>HYPERLINK("https://www.suredividend.com/sure-analysis-SYY/","Sysco Corp.")</f>
        <v>Sysco Corp.</v>
      </c>
      <c r="C176" t="s">
        <v>387</v>
      </c>
      <c r="D176">
        <v>72.94</v>
      </c>
      <c r="E176">
        <v>2.6871401151631481E-2</v>
      </c>
      <c r="F176">
        <v>4.2553191489361541E-2</v>
      </c>
      <c r="G176">
        <v>6.3600948246807842E-2</v>
      </c>
      <c r="H176">
        <v>1.9218782766419089</v>
      </c>
      <c r="I176">
        <v>38709.882489000003</v>
      </c>
      <c r="J176">
        <v>27.25859939873164</v>
      </c>
      <c r="K176">
        <v>0.69132312109421179</v>
      </c>
      <c r="M176">
        <v>89.84</v>
      </c>
      <c r="N176">
        <v>69.7</v>
      </c>
    </row>
    <row r="177" spans="1:14">
      <c r="A177" s="1" t="s">
        <v>306</v>
      </c>
      <c r="B177" t="str">
        <f>HYPERLINK("https://www.suredividend.com/sure-analysis-SJM/","J.M. Smucker Co.")</f>
        <v>J.M. Smucker Co.</v>
      </c>
      <c r="C177" t="s">
        <v>387</v>
      </c>
      <c r="D177">
        <v>151.88</v>
      </c>
      <c r="E177">
        <v>2.6863313141954181E-2</v>
      </c>
      <c r="F177">
        <v>3.030303030303028E-2</v>
      </c>
      <c r="G177">
        <v>3.7137289336648172E-2</v>
      </c>
      <c r="H177">
        <v>3.9875737622500278</v>
      </c>
      <c r="I177">
        <v>16080.722824</v>
      </c>
      <c r="J177">
        <v>22.642527209800061</v>
      </c>
      <c r="K177">
        <v>0.60326380669440671</v>
      </c>
      <c r="M177">
        <v>161.94999999999999</v>
      </c>
      <c r="N177">
        <v>116.48</v>
      </c>
    </row>
    <row r="178" spans="1:14">
      <c r="A178" s="1" t="s">
        <v>132</v>
      </c>
      <c r="B178" t="str">
        <f>HYPERLINK("https://www.suredividend.com/sure-analysis-FAST/","Fastenal Co.")</f>
        <v>Fastenal Co.</v>
      </c>
      <c r="C178" t="s">
        <v>385</v>
      </c>
      <c r="D178">
        <v>52.14</v>
      </c>
      <c r="E178">
        <v>2.6850786344457232E-2</v>
      </c>
      <c r="F178">
        <v>0.12903225806451621</v>
      </c>
      <c r="G178" t="s">
        <v>393</v>
      </c>
      <c r="H178">
        <v>1.267554347719525</v>
      </c>
      <c r="I178">
        <v>30649.169462999998</v>
      </c>
      <c r="J178">
        <v>28.198702238881221</v>
      </c>
      <c r="K178">
        <v>0.67066367604207666</v>
      </c>
      <c r="M178">
        <v>59.21</v>
      </c>
      <c r="N178">
        <v>43.14</v>
      </c>
    </row>
    <row r="179" spans="1:14">
      <c r="A179" s="1" t="s">
        <v>28</v>
      </c>
      <c r="B179" t="str">
        <f>HYPERLINK("https://www.suredividend.com/sure-analysis-AIZ/","Assurant Inc")</f>
        <v>Assurant Inc</v>
      </c>
      <c r="C179" t="s">
        <v>388</v>
      </c>
      <c r="D179">
        <v>104.92</v>
      </c>
      <c r="E179">
        <v>2.6686999618757149E-2</v>
      </c>
      <c r="F179">
        <v>2.941176470588247E-2</v>
      </c>
      <c r="G179">
        <v>4.5639552591273169E-2</v>
      </c>
      <c r="H179">
        <v>2.745978750084026</v>
      </c>
      <c r="I179">
        <v>6691.1720519999999</v>
      </c>
      <c r="J179">
        <v>24.19078832986262</v>
      </c>
      <c r="K179">
        <v>0.54375816833347057</v>
      </c>
      <c r="M179">
        <v>191.54</v>
      </c>
      <c r="N179">
        <v>118.36</v>
      </c>
    </row>
    <row r="180" spans="1:14">
      <c r="A180" s="1" t="s">
        <v>335</v>
      </c>
      <c r="B180" t="str">
        <f>HYPERLINK("https://www.suredividend.com/sure-analysis-THG/","Hanover Insurance Group Inc")</f>
        <v>Hanover Insurance Group Inc</v>
      </c>
      <c r="C180" t="s">
        <v>388</v>
      </c>
      <c r="D180">
        <v>121.57</v>
      </c>
      <c r="E180">
        <v>2.6651312001316121E-2</v>
      </c>
      <c r="F180">
        <v>8.0000000000000071E-2</v>
      </c>
      <c r="G180">
        <v>6.185875879493441E-2</v>
      </c>
      <c r="H180">
        <v>3.0347017288688152</v>
      </c>
      <c r="I180">
        <v>4889.6266850000002</v>
      </c>
      <c r="J180">
        <v>42.151954179827591</v>
      </c>
      <c r="K180">
        <v>0.94538994668810439</v>
      </c>
      <c r="M180">
        <v>152.99</v>
      </c>
      <c r="N180">
        <v>121.95</v>
      </c>
    </row>
    <row r="181" spans="1:14">
      <c r="A181" s="1" t="s">
        <v>89</v>
      </c>
      <c r="B181" t="str">
        <f>HYPERLINK("https://www.suredividend.com/sure-analysis-CL/","Colgate-Palmolive Co.")</f>
        <v>Colgate-Palmolive Co.</v>
      </c>
      <c r="C181" t="s">
        <v>387</v>
      </c>
      <c r="D181">
        <v>72.2</v>
      </c>
      <c r="E181">
        <v>2.659279778393352E-2</v>
      </c>
      <c r="F181">
        <v>4.4444444444444509E-2</v>
      </c>
      <c r="G181">
        <v>2.2750530662123621E-2</v>
      </c>
      <c r="H181">
        <v>1.862255252757989</v>
      </c>
      <c r="I181">
        <v>61406.511521</v>
      </c>
      <c r="J181">
        <v>34.401407014285716</v>
      </c>
      <c r="K181">
        <v>0.87429824073145024</v>
      </c>
      <c r="M181">
        <v>82.74</v>
      </c>
      <c r="N181">
        <v>66.97</v>
      </c>
    </row>
    <row r="182" spans="1:14">
      <c r="A182" s="1" t="s">
        <v>179</v>
      </c>
      <c r="B182" t="str">
        <f>HYPERLINK("https://www.suredividend.com/sure-analysis-research-database/","Independent Bank Corp.")</f>
        <v>Independent Bank Corp.</v>
      </c>
      <c r="C182" t="s">
        <v>388</v>
      </c>
      <c r="D182">
        <v>68.319999999999993</v>
      </c>
      <c r="E182">
        <v>2.6412716246622999E-2</v>
      </c>
      <c r="F182">
        <v>0.14583333333333351</v>
      </c>
      <c r="G182">
        <v>7.6752325943092448E-2</v>
      </c>
      <c r="H182">
        <v>2.0601918672366608</v>
      </c>
      <c r="I182">
        <v>3515.0583780000002</v>
      </c>
      <c r="J182">
        <v>13.324052939013621</v>
      </c>
      <c r="K182">
        <v>0.36207238440011608</v>
      </c>
      <c r="M182">
        <v>91.05</v>
      </c>
      <c r="N182">
        <v>73.8</v>
      </c>
    </row>
    <row r="183" spans="1:14">
      <c r="A183" s="1" t="s">
        <v>217</v>
      </c>
      <c r="B183" t="str">
        <f>HYPERLINK("https://www.suredividend.com/sure-analysis-MATW/","Matthews International Corp.")</f>
        <v>Matthews International Corp.</v>
      </c>
      <c r="C183" t="s">
        <v>385</v>
      </c>
      <c r="D183">
        <v>34.89</v>
      </c>
      <c r="E183">
        <v>2.6368586987675548E-2</v>
      </c>
      <c r="F183">
        <v>4.5454545454545407E-2</v>
      </c>
      <c r="G183">
        <v>3.8950477489882777E-2</v>
      </c>
      <c r="H183">
        <v>0.89411109912971309</v>
      </c>
      <c r="I183">
        <v>1185.4559039999999</v>
      </c>
      <c r="J183" t="s">
        <v>393</v>
      </c>
      <c r="K183" t="s">
        <v>393</v>
      </c>
      <c r="M183">
        <v>39.64</v>
      </c>
      <c r="N183">
        <v>21.99</v>
      </c>
    </row>
    <row r="184" spans="1:14">
      <c r="A184" s="1" t="s">
        <v>285</v>
      </c>
      <c r="B184" t="str">
        <f>HYPERLINK("https://www.suredividend.com/sure-analysis-RGA/","Reinsurance Group Of America, Inc.")</f>
        <v>Reinsurance Group Of America, Inc.</v>
      </c>
      <c r="C184" t="s">
        <v>388</v>
      </c>
      <c r="D184">
        <v>121.97</v>
      </c>
      <c r="E184">
        <v>2.6235959662212021E-2</v>
      </c>
      <c r="F184">
        <v>9.5890410958904271E-2</v>
      </c>
      <c r="G184">
        <v>9.8560543306117854E-2</v>
      </c>
      <c r="H184">
        <v>3.1041280201638228</v>
      </c>
      <c r="I184">
        <v>9800.4093049999992</v>
      </c>
      <c r="J184">
        <v>15.730994068988769</v>
      </c>
      <c r="K184">
        <v>0.33740521958302427</v>
      </c>
      <c r="M184">
        <v>152.55000000000001</v>
      </c>
      <c r="N184">
        <v>95.33</v>
      </c>
    </row>
    <row r="185" spans="1:14">
      <c r="A185" s="1" t="s">
        <v>287</v>
      </c>
      <c r="B185" t="str">
        <f>HYPERLINK("https://www.suredividend.com/sure-analysis-RHI/","Robert Half International Inc.")</f>
        <v>Robert Half International Inc.</v>
      </c>
      <c r="C185" t="s">
        <v>385</v>
      </c>
      <c r="D185">
        <v>73.38</v>
      </c>
      <c r="E185">
        <v>2.616516762060507E-2</v>
      </c>
      <c r="F185">
        <v>0.1162790697674418</v>
      </c>
      <c r="G185">
        <v>0.1138241786028789</v>
      </c>
      <c r="H185">
        <v>1.7552116993138049</v>
      </c>
      <c r="I185">
        <v>8758.041776</v>
      </c>
      <c r="J185">
        <v>13.311732562883879</v>
      </c>
      <c r="K185">
        <v>0.29107988379996769</v>
      </c>
      <c r="M185">
        <v>119.63</v>
      </c>
      <c r="N185">
        <v>64.650000000000006</v>
      </c>
    </row>
    <row r="186" spans="1:14">
      <c r="A186" s="1" t="s">
        <v>354</v>
      </c>
      <c r="B186" t="str">
        <f>HYPERLINK("https://www.suredividend.com/sure-analysis-UMBF/","UMB Financial Corp.")</f>
        <v>UMB Financial Corp.</v>
      </c>
      <c r="C186" t="s">
        <v>388</v>
      </c>
      <c r="D186">
        <v>58.27</v>
      </c>
      <c r="E186">
        <v>2.6085464218294149E-2</v>
      </c>
      <c r="F186">
        <v>2.702702702702697E-2</v>
      </c>
      <c r="G186">
        <v>5.5545891648484107E-2</v>
      </c>
      <c r="H186">
        <v>1.4803114093602081</v>
      </c>
      <c r="I186">
        <v>4309.575691</v>
      </c>
      <c r="J186">
        <v>9.9832184129752921</v>
      </c>
      <c r="K186">
        <v>0.1670780371738384</v>
      </c>
      <c r="M186">
        <v>101.64</v>
      </c>
      <c r="N186">
        <v>76.97</v>
      </c>
    </row>
    <row r="187" spans="1:14">
      <c r="A187" s="1" t="s">
        <v>51</v>
      </c>
      <c r="B187" t="str">
        <f>HYPERLINK("https://www.suredividend.com/sure-analysis-AVNT/","Avient Corp")</f>
        <v>Avient Corp</v>
      </c>
      <c r="C187" t="s">
        <v>393</v>
      </c>
      <c r="D187">
        <v>38.020000000000003</v>
      </c>
      <c r="E187">
        <v>2.6038926880589161E-2</v>
      </c>
      <c r="F187">
        <v>4.2105263157894868E-2</v>
      </c>
      <c r="G187">
        <v>7.1784398498044411E-2</v>
      </c>
      <c r="H187">
        <v>0.95078422234125004</v>
      </c>
      <c r="I187">
        <v>4039.8180900000002</v>
      </c>
      <c r="J187">
        <v>5.7457233543734887</v>
      </c>
      <c r="K187">
        <v>0.12461130043790961</v>
      </c>
      <c r="M187">
        <v>53.76</v>
      </c>
      <c r="N187">
        <v>27.45</v>
      </c>
    </row>
    <row r="188" spans="1:14">
      <c r="A188" s="1" t="s">
        <v>108</v>
      </c>
      <c r="B188" t="str">
        <f>HYPERLINK("https://www.suredividend.com/sure-analysis-DFS/","Discover Financial Services")</f>
        <v>Discover Financial Services</v>
      </c>
      <c r="C188" t="s">
        <v>388</v>
      </c>
      <c r="D188">
        <v>92.24</v>
      </c>
      <c r="E188">
        <v>2.601908065915004E-2</v>
      </c>
      <c r="F188" t="s">
        <v>393</v>
      </c>
      <c r="G188" t="s">
        <v>393</v>
      </c>
      <c r="H188">
        <v>2.3800805523092698</v>
      </c>
      <c r="I188">
        <v>30062.215907999998</v>
      </c>
      <c r="J188">
        <v>6.984715592086431</v>
      </c>
      <c r="K188">
        <v>0.1537519736633895</v>
      </c>
      <c r="M188">
        <v>119.25</v>
      </c>
      <c r="N188">
        <v>86.55</v>
      </c>
    </row>
    <row r="189" spans="1:14">
      <c r="A189" s="1" t="s">
        <v>45</v>
      </c>
      <c r="B189" t="str">
        <f>HYPERLINK("https://www.suredividend.com/sure-analysis-ATO/","Atmos Energy Corp.")</f>
        <v>Atmos Energy Corp.</v>
      </c>
      <c r="C189" t="s">
        <v>389</v>
      </c>
      <c r="D189">
        <v>114.69</v>
      </c>
      <c r="E189">
        <v>2.5808701717673729E-2</v>
      </c>
      <c r="F189">
        <v>8.8235294117646967E-2</v>
      </c>
      <c r="G189">
        <v>8.8173126125551615E-2</v>
      </c>
      <c r="H189">
        <v>2.8228166575384699</v>
      </c>
      <c r="I189">
        <v>16138.710880000001</v>
      </c>
      <c r="J189">
        <v>20.26101750018832</v>
      </c>
      <c r="K189">
        <v>0.49697476365113907</v>
      </c>
      <c r="M189">
        <v>120.73</v>
      </c>
      <c r="N189">
        <v>97.09</v>
      </c>
    </row>
    <row r="190" spans="1:14">
      <c r="A190" s="1" t="s">
        <v>208</v>
      </c>
      <c r="B190" t="str">
        <f>HYPERLINK("https://www.suredividend.com/sure-analysis-LMT/","Lockheed Martin Corp.")</f>
        <v>Lockheed Martin Corp.</v>
      </c>
      <c r="C190" t="s">
        <v>385</v>
      </c>
      <c r="D190">
        <v>465.87</v>
      </c>
      <c r="E190">
        <v>2.5758258741709061E-2</v>
      </c>
      <c r="F190">
        <v>7.1428571428571397E-2</v>
      </c>
      <c r="G190">
        <v>8.4471771197698553E-2</v>
      </c>
      <c r="H190">
        <v>11.49349332397175</v>
      </c>
      <c r="I190">
        <v>122004.025741</v>
      </c>
      <c r="J190">
        <v>21.284721866926031</v>
      </c>
      <c r="K190">
        <v>0.53063219408918516</v>
      </c>
      <c r="M190">
        <v>495.83</v>
      </c>
      <c r="N190">
        <v>366.6</v>
      </c>
    </row>
    <row r="191" spans="1:14">
      <c r="A191" s="1" t="s">
        <v>120</v>
      </c>
      <c r="B191" t="str">
        <f>HYPERLINK("https://www.suredividend.com/sure-analysis-EMR/","Emerson Electric Co.")</f>
        <v>Emerson Electric Co.</v>
      </c>
      <c r="C191" t="s">
        <v>385</v>
      </c>
      <c r="D191">
        <v>80.84</v>
      </c>
      <c r="E191">
        <v>2.5729836714497769E-2</v>
      </c>
      <c r="F191">
        <v>9.7087378640776656E-3</v>
      </c>
      <c r="G191">
        <v>1.4033542618801411E-2</v>
      </c>
      <c r="H191">
        <v>2.0430598748164308</v>
      </c>
      <c r="I191">
        <v>48877.555999999997</v>
      </c>
      <c r="J191">
        <v>15.462687757038911</v>
      </c>
      <c r="K191">
        <v>0.38621169656265231</v>
      </c>
      <c r="M191">
        <v>99.06</v>
      </c>
      <c r="N191">
        <v>71.150000000000006</v>
      </c>
    </row>
    <row r="192" spans="1:14">
      <c r="A192" s="1" t="s">
        <v>73</v>
      </c>
      <c r="B192" t="str">
        <f>HYPERLINK("https://www.suredividend.com/sure-analysis-CASS/","Cass Information Systems Inc")</f>
        <v>Cass Information Systems Inc</v>
      </c>
      <c r="C192" t="s">
        <v>385</v>
      </c>
      <c r="D192">
        <v>45.16</v>
      </c>
      <c r="E192">
        <v>2.5686448184233841E-2</v>
      </c>
      <c r="F192">
        <v>3.5714285714285587E-2</v>
      </c>
      <c r="G192">
        <v>2.20800938152379E-2</v>
      </c>
      <c r="H192">
        <v>1.129114183125937</v>
      </c>
      <c r="I192">
        <v>669.06522600000005</v>
      </c>
      <c r="J192">
        <v>19.16872640385056</v>
      </c>
      <c r="K192">
        <v>0.44629019095886829</v>
      </c>
      <c r="M192">
        <v>51.17</v>
      </c>
      <c r="N192">
        <v>30.95</v>
      </c>
    </row>
    <row r="193" spans="1:14">
      <c r="A193" s="1" t="s">
        <v>269</v>
      </c>
      <c r="B193" t="str">
        <f>HYPERLINK("https://www.suredividend.com/sure-analysis-PG/","Procter &amp; Gamble Co.")</f>
        <v>Procter &amp; Gamble Co.</v>
      </c>
      <c r="C193" t="s">
        <v>387</v>
      </c>
      <c r="D193">
        <v>142.93</v>
      </c>
      <c r="E193">
        <v>2.5536976142167489E-2</v>
      </c>
      <c r="F193">
        <v>5.0011496895838059E-2</v>
      </c>
      <c r="G193">
        <v>4.9529464197050732E-2</v>
      </c>
      <c r="H193">
        <v>3.6174978505169979</v>
      </c>
      <c r="I193">
        <v>332521.360331</v>
      </c>
      <c r="J193">
        <v>23.756616441466029</v>
      </c>
      <c r="K193">
        <v>0.64829710582741895</v>
      </c>
      <c r="M193">
        <v>161.66999999999999</v>
      </c>
      <c r="N193">
        <v>120.56</v>
      </c>
    </row>
    <row r="194" spans="1:14">
      <c r="A194" s="1" t="s">
        <v>127</v>
      </c>
      <c r="B194" t="str">
        <f>HYPERLINK("https://www.suredividend.com/sure-analysis-EVR/","Evercore Inc")</f>
        <v>Evercore Inc</v>
      </c>
      <c r="C194" t="s">
        <v>388</v>
      </c>
      <c r="D194">
        <v>113</v>
      </c>
      <c r="E194">
        <v>2.5486725663716809E-2</v>
      </c>
      <c r="F194" t="s">
        <v>393</v>
      </c>
      <c r="G194" t="s">
        <v>393</v>
      </c>
      <c r="H194">
        <v>2.8532720643933658</v>
      </c>
      <c r="I194">
        <v>5109.3826920000001</v>
      </c>
      <c r="J194">
        <v>10.722283832284059</v>
      </c>
      <c r="K194">
        <v>0.2457598677341401</v>
      </c>
      <c r="M194">
        <v>136.63</v>
      </c>
      <c r="N194">
        <v>77.709999999999994</v>
      </c>
    </row>
    <row r="195" spans="1:14">
      <c r="A195" s="1" t="s">
        <v>39</v>
      </c>
      <c r="B195" t="str">
        <f>HYPERLINK("https://www.suredividend.com/sure-analysis-APD/","Air Products &amp; Chemicals Inc.")</f>
        <v>Air Products &amp; Chemicals Inc.</v>
      </c>
      <c r="C195" t="s">
        <v>390</v>
      </c>
      <c r="D195">
        <v>274.74</v>
      </c>
      <c r="E195">
        <v>2.5478634345199098E-2</v>
      </c>
      <c r="F195">
        <v>8.0000000000000071E-2</v>
      </c>
      <c r="G195">
        <v>8.0499240325773824E-2</v>
      </c>
      <c r="H195">
        <v>6.4215248230912092</v>
      </c>
      <c r="I195">
        <v>65465.582818000003</v>
      </c>
      <c r="J195">
        <v>28.866168181039729</v>
      </c>
      <c r="K195">
        <v>0.63017907979305299</v>
      </c>
      <c r="M195">
        <v>326.85000000000002</v>
      </c>
      <c r="N195">
        <v>210.83</v>
      </c>
    </row>
    <row r="196" spans="1:14">
      <c r="A196" s="1" t="s">
        <v>87</v>
      </c>
      <c r="B196" t="str">
        <f>HYPERLINK("https://www.suredividend.com/sure-analysis-CHRW/","C.H. Robinson Worldwide, Inc.")</f>
        <v>C.H. Robinson Worldwide, Inc.</v>
      </c>
      <c r="C196" t="s">
        <v>385</v>
      </c>
      <c r="D196">
        <v>95.91</v>
      </c>
      <c r="E196">
        <v>2.544051715149619E-2</v>
      </c>
      <c r="F196">
        <v>0.10909090909090891</v>
      </c>
      <c r="G196">
        <v>5.8069999702146317E-2</v>
      </c>
      <c r="H196">
        <v>2.2419428773901608</v>
      </c>
      <c r="I196">
        <v>11690.656346</v>
      </c>
      <c r="J196">
        <v>12.42993942261973</v>
      </c>
      <c r="K196">
        <v>0.30296525370137312</v>
      </c>
      <c r="L196">
        <v>0.75057532878464106</v>
      </c>
      <c r="M196">
        <v>119.91</v>
      </c>
      <c r="N196">
        <v>86.07</v>
      </c>
    </row>
    <row r="197" spans="1:14">
      <c r="A197" s="1" t="s">
        <v>83</v>
      </c>
      <c r="B197" t="str">
        <f>HYPERLINK("https://www.suredividend.com/sure-analysis-research-database/","City Holding Co.")</f>
        <v>City Holding Co.</v>
      </c>
      <c r="C197" t="s">
        <v>388</v>
      </c>
      <c r="D197">
        <v>92.54</v>
      </c>
      <c r="E197">
        <v>2.5337660161011001E-2</v>
      </c>
      <c r="F197">
        <v>8.3333333333333259E-2</v>
      </c>
      <c r="G197">
        <v>7.1596052225361806E-2</v>
      </c>
      <c r="H197">
        <v>2.4739691381211322</v>
      </c>
      <c r="I197">
        <v>1439.169564</v>
      </c>
      <c r="J197">
        <v>14.23327924559651</v>
      </c>
      <c r="K197">
        <v>0.36381899090016651</v>
      </c>
      <c r="M197">
        <v>102.27</v>
      </c>
      <c r="N197">
        <v>71.58</v>
      </c>
    </row>
    <row r="198" spans="1:14">
      <c r="A198" s="1" t="s">
        <v>68</v>
      </c>
      <c r="B198" t="str">
        <f>HYPERLINK("https://www.suredividend.com/sure-analysis-BOKF/","BOK Financial Corp.")</f>
        <v>BOK Financial Corp.</v>
      </c>
      <c r="C198" t="s">
        <v>388</v>
      </c>
      <c r="D198">
        <v>86.61</v>
      </c>
      <c r="E198">
        <v>2.4939383443020439E-2</v>
      </c>
      <c r="F198">
        <v>1.8867924528301879E-2</v>
      </c>
      <c r="G198">
        <v>3.7137289336648172E-2</v>
      </c>
      <c r="H198">
        <v>2.1232294494490538</v>
      </c>
      <c r="I198">
        <v>6949.6654500000004</v>
      </c>
      <c r="J198">
        <v>13.45608738182276</v>
      </c>
      <c r="K198">
        <v>0.27646216789701228</v>
      </c>
      <c r="M198">
        <v>109.7</v>
      </c>
      <c r="N198">
        <v>69.09</v>
      </c>
    </row>
    <row r="199" spans="1:14">
      <c r="A199" s="1" t="s">
        <v>175</v>
      </c>
      <c r="B199" t="str">
        <f>HYPERLINK("https://www.suredividend.com/sure-analysis-research-database/","International Bancshares Corp.")</f>
        <v>International Bancshares Corp.</v>
      </c>
      <c r="C199" t="s">
        <v>388</v>
      </c>
      <c r="D199">
        <v>42.82</v>
      </c>
      <c r="E199">
        <v>2.4850402045681001E-2</v>
      </c>
      <c r="F199" t="s">
        <v>393</v>
      </c>
      <c r="G199" t="s">
        <v>393</v>
      </c>
      <c r="H199">
        <v>1.221894268586158</v>
      </c>
      <c r="I199">
        <v>3055.649441</v>
      </c>
      <c r="J199">
        <v>10.177627438547519</v>
      </c>
      <c r="K199">
        <v>0.25562641602220881</v>
      </c>
      <c r="M199">
        <v>52.98</v>
      </c>
      <c r="N199">
        <v>36.99</v>
      </c>
    </row>
    <row r="200" spans="1:14">
      <c r="A200" s="1" t="s">
        <v>282</v>
      </c>
      <c r="B200" t="str">
        <f>HYPERLINK("https://www.suredividend.com/sure-analysis-QCOM/","Qualcomm, Inc.")</f>
        <v>Qualcomm, Inc.</v>
      </c>
      <c r="C200" t="s">
        <v>386</v>
      </c>
      <c r="D200">
        <v>120.73</v>
      </c>
      <c r="E200">
        <v>2.484883624616914E-2</v>
      </c>
      <c r="F200">
        <v>0.10294117647058811</v>
      </c>
      <c r="G200">
        <v>3.8804721244317657E-2</v>
      </c>
      <c r="H200">
        <v>2.972760108938298</v>
      </c>
      <c r="I200">
        <v>137814</v>
      </c>
      <c r="J200">
        <v>11.70693170234455</v>
      </c>
      <c r="K200">
        <v>0.28639307407883408</v>
      </c>
      <c r="M200">
        <v>159.4</v>
      </c>
      <c r="N200">
        <v>100.67</v>
      </c>
    </row>
    <row r="201" spans="1:14">
      <c r="A201" s="1" t="s">
        <v>241</v>
      </c>
      <c r="B201" t="str">
        <f>HYPERLINK("https://www.suredividend.com/sure-analysis-NEE/","NextEra Energy Inc")</f>
        <v>NextEra Energy Inc</v>
      </c>
      <c r="C201" t="s">
        <v>389</v>
      </c>
      <c r="D201">
        <v>75.67</v>
      </c>
      <c r="E201">
        <v>2.4712567728293909E-2</v>
      </c>
      <c r="F201">
        <v>0.1000000000000001</v>
      </c>
      <c r="G201" t="s">
        <v>393</v>
      </c>
      <c r="H201">
        <v>1.728030649600254</v>
      </c>
      <c r="I201">
        <v>147571.52647099999</v>
      </c>
      <c r="J201">
        <v>35.585128157824933</v>
      </c>
      <c r="K201">
        <v>0.82287173790488277</v>
      </c>
      <c r="M201">
        <v>90.02</v>
      </c>
      <c r="N201">
        <v>65.760000000000005</v>
      </c>
    </row>
    <row r="202" spans="1:14">
      <c r="A202" s="1" t="s">
        <v>319</v>
      </c>
      <c r="B202" t="str">
        <f>HYPERLINK("https://www.suredividend.com/sure-analysis-research-database/","SouthState Corporation")</f>
        <v>SouthState Corporation</v>
      </c>
      <c r="C202" t="s">
        <v>388</v>
      </c>
      <c r="D202">
        <v>72.760000000000005</v>
      </c>
      <c r="E202">
        <v>2.4630582539841999E-2</v>
      </c>
      <c r="F202">
        <v>2.0408163265306149E-2</v>
      </c>
      <c r="G202">
        <v>7.3940923785779322E-2</v>
      </c>
      <c r="H202">
        <v>1.964042651727077</v>
      </c>
      <c r="I202">
        <v>6048.0417740000003</v>
      </c>
      <c r="J202">
        <v>12.192428113956479</v>
      </c>
      <c r="K202">
        <v>0.29758221995864798</v>
      </c>
      <c r="M202">
        <v>90.88</v>
      </c>
      <c r="N202">
        <v>70.58</v>
      </c>
    </row>
    <row r="203" spans="1:14">
      <c r="A203" s="1" t="s">
        <v>270</v>
      </c>
      <c r="B203" t="str">
        <f>HYPERLINK("https://www.suredividend.com/sure-analysis-PII/","Polaris Inc")</f>
        <v>Polaris Inc</v>
      </c>
      <c r="C203" t="s">
        <v>392</v>
      </c>
      <c r="D203">
        <v>106.03</v>
      </c>
      <c r="E203">
        <v>2.4521361878713569E-2</v>
      </c>
      <c r="F203">
        <v>1.5625E-2</v>
      </c>
      <c r="G203">
        <v>1.6137364741595661E-2</v>
      </c>
      <c r="H203">
        <v>2.5484094339632808</v>
      </c>
      <c r="I203">
        <v>6606.0192950000001</v>
      </c>
      <c r="J203">
        <v>14.775261228539479</v>
      </c>
      <c r="K203">
        <v>0.3425281497262474</v>
      </c>
      <c r="M203">
        <v>121.79</v>
      </c>
      <c r="N203">
        <v>90.82</v>
      </c>
    </row>
    <row r="204" spans="1:14">
      <c r="A204" s="1" t="s">
        <v>19</v>
      </c>
      <c r="B204" t="str">
        <f>HYPERLINK("https://www.suredividend.com/sure-analysis-ADM/","Archer Daniels Midland Co.")</f>
        <v>Archer Daniels Midland Co.</v>
      </c>
      <c r="C204" t="s">
        <v>387</v>
      </c>
      <c r="D204">
        <v>74.260000000000005</v>
      </c>
      <c r="E204">
        <v>2.4239159709130081E-2</v>
      </c>
      <c r="F204">
        <v>0.125</v>
      </c>
      <c r="G204">
        <v>6.0800073978495961E-2</v>
      </c>
      <c r="H204">
        <v>1.6382518721298529</v>
      </c>
      <c r="I204">
        <v>44421.583600999998</v>
      </c>
      <c r="J204">
        <v>10.23538792645161</v>
      </c>
      <c r="K204">
        <v>0.21248403010763331</v>
      </c>
      <c r="M204">
        <v>97.59</v>
      </c>
      <c r="N204">
        <v>69.02</v>
      </c>
    </row>
    <row r="205" spans="1:14">
      <c r="A205" s="1" t="s">
        <v>146</v>
      </c>
      <c r="B205" t="str">
        <f>HYPERLINK("https://www.suredividend.com/sure-analysis-GD/","General Dynamics Corp.")</f>
        <v>General Dynamics Corp.</v>
      </c>
      <c r="C205" t="s">
        <v>385</v>
      </c>
      <c r="D205">
        <v>218.15</v>
      </c>
      <c r="E205">
        <v>2.4203529681411869E-2</v>
      </c>
      <c r="F205">
        <v>5.8823529411764719E-2</v>
      </c>
      <c r="G205">
        <v>6.2618858899870622E-2</v>
      </c>
      <c r="H205">
        <v>4.9988096536007678</v>
      </c>
      <c r="I205">
        <v>63404.319675999999</v>
      </c>
      <c r="J205">
        <v>18.703339137510319</v>
      </c>
      <c r="K205">
        <v>0.41007462293689639</v>
      </c>
      <c r="M205">
        <v>255.49</v>
      </c>
      <c r="N205">
        <v>204.68</v>
      </c>
    </row>
    <row r="206" spans="1:14">
      <c r="A206" s="1" t="s">
        <v>41</v>
      </c>
      <c r="B206" t="str">
        <f>HYPERLINK("https://www.suredividend.com/sure-analysis-APOG/","Apogee Enterprises Inc.")</f>
        <v>Apogee Enterprises Inc.</v>
      </c>
      <c r="C206" t="s">
        <v>385</v>
      </c>
      <c r="D206">
        <v>39.82</v>
      </c>
      <c r="E206">
        <v>2.4108488196885991E-2</v>
      </c>
      <c r="F206">
        <v>9.0909090909090828E-2</v>
      </c>
      <c r="G206">
        <v>8.7892885777757002E-2</v>
      </c>
      <c r="H206">
        <v>0.89297183303655503</v>
      </c>
      <c r="I206">
        <v>1061.601803</v>
      </c>
      <c r="J206">
        <v>15.70114923313564</v>
      </c>
      <c r="K206">
        <v>0.30373191599882832</v>
      </c>
      <c r="M206">
        <v>49.39</v>
      </c>
      <c r="N206">
        <v>35.380000000000003</v>
      </c>
    </row>
    <row r="207" spans="1:14">
      <c r="A207" s="1" t="s">
        <v>373</v>
      </c>
      <c r="B207" t="str">
        <f>HYPERLINK("https://www.suredividend.com/sure-analysis-WOR/","Worthington Industries, Inc.")</f>
        <v>Worthington Industries, Inc.</v>
      </c>
      <c r="C207" t="s">
        <v>390</v>
      </c>
      <c r="D207">
        <v>52.12</v>
      </c>
      <c r="E207">
        <v>2.379125095932464E-2</v>
      </c>
      <c r="F207">
        <v>0.107142857142857</v>
      </c>
      <c r="G207">
        <v>8.1006934307831235E-2</v>
      </c>
      <c r="H207">
        <v>1.1697022688427161</v>
      </c>
      <c r="I207">
        <v>3113.6871329999999</v>
      </c>
      <c r="J207">
        <v>14.355801144153361</v>
      </c>
      <c r="K207">
        <v>0.26889707329717621</v>
      </c>
      <c r="M207">
        <v>62.83</v>
      </c>
      <c r="N207">
        <v>37.79</v>
      </c>
    </row>
    <row r="208" spans="1:14">
      <c r="A208" s="1" t="s">
        <v>92</v>
      </c>
      <c r="B208" t="str">
        <f>HYPERLINK("https://www.suredividend.com/sure-analysis-CME/","CME Group Inc")</f>
        <v>CME Group Inc</v>
      </c>
      <c r="C208" t="s">
        <v>388</v>
      </c>
      <c r="D208">
        <v>185.98</v>
      </c>
      <c r="E208">
        <v>2.365845789869879E-2</v>
      </c>
      <c r="F208">
        <v>0.1000000000000001</v>
      </c>
      <c r="G208">
        <v>7.9608473046602901E-2</v>
      </c>
      <c r="H208">
        <v>8.3650515554866569</v>
      </c>
      <c r="I208">
        <v>66651.994984999998</v>
      </c>
      <c r="J208">
        <v>25.08354470313488</v>
      </c>
      <c r="K208">
        <v>1.1304123723630619</v>
      </c>
      <c r="M208">
        <v>241.62</v>
      </c>
      <c r="N208">
        <v>161.33000000000001</v>
      </c>
    </row>
    <row r="209" spans="1:14">
      <c r="A209" s="1" t="s">
        <v>20</v>
      </c>
      <c r="B209" t="str">
        <f>HYPERLINK("https://www.suredividend.com/sure-analysis-ADP/","Automatic Data Processing Inc.")</f>
        <v>Automatic Data Processing Inc.</v>
      </c>
      <c r="C209" t="s">
        <v>385</v>
      </c>
      <c r="D209">
        <v>213.22</v>
      </c>
      <c r="E209">
        <v>2.3449957790075981E-2</v>
      </c>
      <c r="F209">
        <v>0.2019230769230769</v>
      </c>
      <c r="G209">
        <v>0.12619134259897491</v>
      </c>
      <c r="H209">
        <v>4.3411768108807589</v>
      </c>
      <c r="I209">
        <v>93125.509065000006</v>
      </c>
      <c r="J209">
        <v>29.600301663805979</v>
      </c>
      <c r="K209">
        <v>0.57651750476504104</v>
      </c>
      <c r="M209">
        <v>274.92</v>
      </c>
      <c r="N209">
        <v>194.82</v>
      </c>
    </row>
    <row r="210" spans="1:14">
      <c r="A210" s="1" t="s">
        <v>152</v>
      </c>
      <c r="B210" t="str">
        <f>HYPERLINK("https://www.suredividend.com/sure-analysis-GPC/","Genuine Parts Co.")</f>
        <v>Genuine Parts Co.</v>
      </c>
      <c r="C210" t="s">
        <v>392</v>
      </c>
      <c r="D210">
        <v>162.07</v>
      </c>
      <c r="E210">
        <v>2.344665885111372E-2</v>
      </c>
      <c r="F210">
        <v>6.1452513966480549E-2</v>
      </c>
      <c r="G210">
        <v>5.7007872172952327E-2</v>
      </c>
      <c r="H210">
        <v>3.6062521601836481</v>
      </c>
      <c r="I210">
        <v>23261.638705000001</v>
      </c>
      <c r="J210">
        <v>19.668232888278609</v>
      </c>
      <c r="K210">
        <v>0.43396536223629939</v>
      </c>
      <c r="M210">
        <v>186.68</v>
      </c>
      <c r="N210">
        <v>118.8</v>
      </c>
    </row>
    <row r="211" spans="1:14">
      <c r="A211" s="1" t="s">
        <v>204</v>
      </c>
      <c r="B211" t="str">
        <f>HYPERLINK("https://www.suredividend.com/sure-analysis-LHX/","L3Harris Technologies Inc")</f>
        <v>L3Harris Technologies Inc</v>
      </c>
      <c r="C211" t="s">
        <v>385</v>
      </c>
      <c r="D211">
        <v>195.25</v>
      </c>
      <c r="E211">
        <v>2.335467349551856E-2</v>
      </c>
      <c r="F211">
        <v>1.785714285714279E-2</v>
      </c>
      <c r="G211">
        <v>0.1486983549970351</v>
      </c>
      <c r="H211">
        <v>4.4469289517055284</v>
      </c>
      <c r="I211">
        <v>40709.546974999997</v>
      </c>
      <c r="J211">
        <v>38.332906755932207</v>
      </c>
      <c r="K211">
        <v>0.81000527353470464</v>
      </c>
      <c r="M211">
        <v>274.44</v>
      </c>
      <c r="N211">
        <v>189.73</v>
      </c>
    </row>
    <row r="212" spans="1:14">
      <c r="A212" s="1" t="s">
        <v>326</v>
      </c>
      <c r="B212" t="str">
        <f>HYPERLINK("https://www.suredividend.com/sure-analysis-SXT/","Sensient Technologies Corp.")</f>
        <v>Sensient Technologies Corp.</v>
      </c>
      <c r="C212" t="s">
        <v>390</v>
      </c>
      <c r="D212">
        <v>70.349999999999994</v>
      </c>
      <c r="E212">
        <v>2.3312011371712869E-2</v>
      </c>
      <c r="F212">
        <v>0</v>
      </c>
      <c r="G212">
        <v>4.4369026902302489E-2</v>
      </c>
      <c r="H212">
        <v>1.6266753205116169</v>
      </c>
      <c r="I212">
        <v>3204.4687749999998</v>
      </c>
      <c r="J212">
        <v>22.744957128052981</v>
      </c>
      <c r="K212">
        <v>0.48702853907533439</v>
      </c>
      <c r="M212">
        <v>88.33</v>
      </c>
      <c r="N212">
        <v>62.46</v>
      </c>
    </row>
    <row r="213" spans="1:14">
      <c r="A213" s="1" t="s">
        <v>336</v>
      </c>
      <c r="B213" t="str">
        <f>HYPERLINK("https://www.suredividend.com/sure-analysis-THO/","Thor Industries, Inc.")</f>
        <v>Thor Industries, Inc.</v>
      </c>
      <c r="C213" t="s">
        <v>392</v>
      </c>
      <c r="D213">
        <v>78.180000000000007</v>
      </c>
      <c r="E213">
        <v>2.3023791250959321E-2</v>
      </c>
      <c r="F213">
        <v>4.6511627906976827E-2</v>
      </c>
      <c r="G213">
        <v>3.9925333043306248E-2</v>
      </c>
      <c r="H213">
        <v>2.194792909455928</v>
      </c>
      <c r="I213">
        <v>4926.3995569999997</v>
      </c>
      <c r="J213">
        <v>4.7748135509480516</v>
      </c>
      <c r="K213">
        <v>0.11655830639702219</v>
      </c>
      <c r="M213">
        <v>105.36</v>
      </c>
      <c r="N213">
        <v>65.11</v>
      </c>
    </row>
    <row r="214" spans="1:14">
      <c r="A214" s="1" t="s">
        <v>206</v>
      </c>
      <c r="B214" t="str">
        <f>HYPERLINK("https://www.suredividend.com/sure-analysis-research-database/","Lakeland Financial Corp.")</f>
        <v>Lakeland Financial Corp.</v>
      </c>
      <c r="C214" t="s">
        <v>388</v>
      </c>
      <c r="D214">
        <v>65.709999999999994</v>
      </c>
      <c r="E214">
        <v>2.3012451983148E-2</v>
      </c>
      <c r="F214">
        <v>0.14999999999999991</v>
      </c>
      <c r="G214">
        <v>0.1208742617958329</v>
      </c>
      <c r="H214">
        <v>1.646080690354585</v>
      </c>
      <c r="I214">
        <v>1852.2557589999999</v>
      </c>
      <c r="J214">
        <v>17.841545790188501</v>
      </c>
      <c r="K214">
        <v>0.40744571543430319</v>
      </c>
      <c r="M214">
        <v>83.05</v>
      </c>
      <c r="N214">
        <v>62.95</v>
      </c>
    </row>
    <row r="215" spans="1:14">
      <c r="A215" s="1" t="s">
        <v>297</v>
      </c>
      <c r="B215" t="str">
        <f>HYPERLINK("https://www.suredividend.com/sure-analysis-RTX/","Raytheon Technologies Corporation")</f>
        <v>Raytheon Technologies Corporation</v>
      </c>
      <c r="C215" t="s">
        <v>385</v>
      </c>
      <c r="D215">
        <v>95.75</v>
      </c>
      <c r="E215">
        <v>2.2976501305483031E-2</v>
      </c>
      <c r="F215">
        <v>7.8431372549019773E-2</v>
      </c>
      <c r="G215" t="s">
        <v>393</v>
      </c>
      <c r="H215">
        <v>2.1814455882770698</v>
      </c>
      <c r="I215">
        <v>145059.80290800001</v>
      </c>
      <c r="J215">
        <v>27.912219147138732</v>
      </c>
      <c r="K215">
        <v>0.6232701680791628</v>
      </c>
      <c r="M215">
        <v>108.24</v>
      </c>
      <c r="N215">
        <v>79.37</v>
      </c>
    </row>
    <row r="216" spans="1:14">
      <c r="A216" s="1" t="s">
        <v>342</v>
      </c>
      <c r="B216" t="str">
        <f>HYPERLINK("https://www.suredividend.com/sure-analysis-research-database/","Terreno Realty Corp")</f>
        <v>Terreno Realty Corp</v>
      </c>
      <c r="C216" t="s">
        <v>391</v>
      </c>
      <c r="D216">
        <v>60.77</v>
      </c>
      <c r="E216">
        <v>2.2938287812698001E-2</v>
      </c>
      <c r="F216">
        <v>0.17647058823529421</v>
      </c>
      <c r="G216">
        <v>0.12700920209792541</v>
      </c>
      <c r="H216">
        <v>1.465297825475194</v>
      </c>
      <c r="I216">
        <v>5284.7267309999997</v>
      </c>
      <c r="J216">
        <v>26.80425406451613</v>
      </c>
      <c r="K216">
        <v>0.56141679136980616</v>
      </c>
      <c r="M216">
        <v>79.36</v>
      </c>
      <c r="N216">
        <v>50</v>
      </c>
    </row>
    <row r="217" spans="1:14">
      <c r="A217" s="1" t="s">
        <v>183</v>
      </c>
      <c r="B217" t="str">
        <f>HYPERLINK("https://www.suredividend.com/sure-analysis-ITW/","Illinois Tool Works, Inc.")</f>
        <v>Illinois Tool Works, Inc.</v>
      </c>
      <c r="C217" t="s">
        <v>385</v>
      </c>
      <c r="D217">
        <v>229.81</v>
      </c>
      <c r="E217">
        <v>2.2801444671685309E-2</v>
      </c>
      <c r="F217">
        <v>7.3770491803278659E-2</v>
      </c>
      <c r="G217">
        <v>0.1092650726196118</v>
      </c>
      <c r="H217">
        <v>5.0128256795898096</v>
      </c>
      <c r="I217">
        <v>72889.930928999995</v>
      </c>
      <c r="J217">
        <v>24.024367478289388</v>
      </c>
      <c r="K217">
        <v>0.51308348818728866</v>
      </c>
      <c r="M217">
        <v>253.37</v>
      </c>
      <c r="N217">
        <v>171.29</v>
      </c>
    </row>
    <row r="218" spans="1:14">
      <c r="A218" s="1" t="s">
        <v>218</v>
      </c>
      <c r="B218" t="str">
        <f>HYPERLINK("https://www.suredividend.com/sure-analysis-MCD/","McDonald`s Corp")</f>
        <v>McDonald`s Corp</v>
      </c>
      <c r="C218" t="s">
        <v>392</v>
      </c>
      <c r="D218">
        <v>267.2</v>
      </c>
      <c r="E218">
        <v>2.2754491017964069E-2</v>
      </c>
      <c r="F218">
        <v>0.10144927536231881</v>
      </c>
      <c r="G218">
        <v>8.5186651035127348E-2</v>
      </c>
      <c r="H218">
        <v>5.752634179197277</v>
      </c>
      <c r="I218">
        <v>196823.88460600001</v>
      </c>
      <c r="J218">
        <v>31.861929712430801</v>
      </c>
      <c r="K218">
        <v>0.69059233843904888</v>
      </c>
      <c r="M218">
        <v>278.48</v>
      </c>
      <c r="N218">
        <v>212.86</v>
      </c>
    </row>
    <row r="219" spans="1:14">
      <c r="A219" s="1" t="s">
        <v>344</v>
      </c>
      <c r="B219" t="str">
        <f>HYPERLINK("https://www.suredividend.com/sure-analysis-TRV/","Travelers Companies Inc.")</f>
        <v>Travelers Companies Inc.</v>
      </c>
      <c r="C219" t="s">
        <v>388</v>
      </c>
      <c r="D219">
        <v>165.03</v>
      </c>
      <c r="E219">
        <v>2.254135611706962E-2</v>
      </c>
      <c r="F219">
        <v>5.6818181818181879E-2</v>
      </c>
      <c r="G219">
        <v>3.8480735926706533E-2</v>
      </c>
      <c r="H219">
        <v>3.641635440177124</v>
      </c>
      <c r="I219">
        <v>42610.187212999997</v>
      </c>
      <c r="J219">
        <v>15.09928675155564</v>
      </c>
      <c r="K219">
        <v>0.30939978251292471</v>
      </c>
      <c r="M219">
        <v>194.51</v>
      </c>
      <c r="N219">
        <v>148.91</v>
      </c>
    </row>
    <row r="220" spans="1:14">
      <c r="A220" s="1" t="s">
        <v>23</v>
      </c>
      <c r="B220" t="str">
        <f>HYPERLINK("https://www.suredividend.com/sure-analysis-AFG/","American Financial Group Inc")</f>
        <v>American Financial Group Inc</v>
      </c>
      <c r="C220" t="s">
        <v>388</v>
      </c>
      <c r="D220">
        <v>116.28</v>
      </c>
      <c r="E220">
        <v>2.235982112143103E-2</v>
      </c>
      <c r="F220">
        <v>6.1428571428571423</v>
      </c>
      <c r="G220">
        <v>0.1486983549970351</v>
      </c>
      <c r="H220">
        <v>2.242704460558548</v>
      </c>
      <c r="I220">
        <v>11315.428601</v>
      </c>
      <c r="J220">
        <v>12.60070000139198</v>
      </c>
      <c r="K220">
        <v>0.21298237992009</v>
      </c>
      <c r="M220">
        <v>143.91</v>
      </c>
      <c r="N220">
        <v>112.87</v>
      </c>
    </row>
    <row r="221" spans="1:14">
      <c r="A221" s="1" t="s">
        <v>75</v>
      </c>
      <c r="B221" t="str">
        <f>HYPERLINK("https://www.suredividend.com/sure-analysis-CAT/","Caterpillar Inc.")</f>
        <v>Caterpillar Inc.</v>
      </c>
      <c r="C221" t="s">
        <v>385</v>
      </c>
      <c r="D221">
        <v>215.01</v>
      </c>
      <c r="E221">
        <v>2.2324543044509561E-2</v>
      </c>
      <c r="F221">
        <v>8.1081081081080919E-2</v>
      </c>
      <c r="G221">
        <v>8.9976987048345336E-2</v>
      </c>
      <c r="H221">
        <v>4.6704685703113977</v>
      </c>
      <c r="I221">
        <v>131828.167052</v>
      </c>
      <c r="J221">
        <v>19.661173311245339</v>
      </c>
      <c r="K221">
        <v>0.36949909575248402</v>
      </c>
      <c r="M221">
        <v>266.04000000000002</v>
      </c>
      <c r="N221">
        <v>158.78</v>
      </c>
    </row>
    <row r="222" spans="1:14">
      <c r="A222" s="1" t="s">
        <v>167</v>
      </c>
      <c r="B222" t="str">
        <f>HYPERLINK("https://www.suredividend.com/sure-analysis-HON/","Honeywell International Inc")</f>
        <v>Honeywell International Inc</v>
      </c>
      <c r="C222" t="s">
        <v>385</v>
      </c>
      <c r="D222">
        <v>184.64</v>
      </c>
      <c r="E222">
        <v>2.2313691507798959E-2</v>
      </c>
      <c r="F222">
        <v>5.1020408163265252E-2</v>
      </c>
      <c r="G222">
        <v>6.6930647519876318E-2</v>
      </c>
      <c r="H222">
        <v>3.9753117078488449</v>
      </c>
      <c r="I222">
        <v>131503.36439900001</v>
      </c>
      <c r="J222">
        <v>26.486075407581069</v>
      </c>
      <c r="K222">
        <v>0.54681041373436656</v>
      </c>
      <c r="M222">
        <v>219.8</v>
      </c>
      <c r="N222">
        <v>164.02</v>
      </c>
    </row>
    <row r="223" spans="1:14">
      <c r="A223" s="1" t="s">
        <v>195</v>
      </c>
      <c r="B223" t="str">
        <f>HYPERLINK("https://www.suredividend.com/sure-analysis-KR/","Kroger Co.")</f>
        <v>Kroger Co.</v>
      </c>
      <c r="C223" t="s">
        <v>387</v>
      </c>
      <c r="D223">
        <v>46.78</v>
      </c>
      <c r="E223">
        <v>2.223172295852929E-2</v>
      </c>
      <c r="F223">
        <v>0.23809523809523811</v>
      </c>
      <c r="G223">
        <v>0.15774434135315829</v>
      </c>
      <c r="H223">
        <v>0.98204835665000212</v>
      </c>
      <c r="I223">
        <v>32913.489813</v>
      </c>
      <c r="J223">
        <v>13.958222990882099</v>
      </c>
      <c r="K223">
        <v>0.30498396169254721</v>
      </c>
      <c r="M223">
        <v>61.49</v>
      </c>
      <c r="N223">
        <v>41.34</v>
      </c>
    </row>
    <row r="224" spans="1:14">
      <c r="A224" s="1" t="s">
        <v>26</v>
      </c>
      <c r="B224" t="str">
        <f>HYPERLINK("https://www.suredividend.com/sure-analysis-AGO/","Assured Guaranty Ltd")</f>
        <v>Assured Guaranty Ltd</v>
      </c>
      <c r="C224" t="s">
        <v>388</v>
      </c>
      <c r="D224">
        <v>47.42</v>
      </c>
      <c r="E224">
        <v>2.1931674398987772E-2</v>
      </c>
      <c r="F224">
        <v>0.12000000000000011</v>
      </c>
      <c r="G224">
        <v>0.1184269147201447</v>
      </c>
      <c r="H224">
        <v>0.99350372131767206</v>
      </c>
      <c r="I224">
        <v>3514.4384490000002</v>
      </c>
      <c r="J224">
        <v>28.57267031845528</v>
      </c>
      <c r="K224">
        <v>0.51744985485295425</v>
      </c>
      <c r="M224">
        <v>67.13</v>
      </c>
      <c r="N224">
        <v>45.72</v>
      </c>
    </row>
    <row r="225" spans="1:14">
      <c r="A225" s="1" t="s">
        <v>145</v>
      </c>
      <c r="B225" t="str">
        <f>HYPERLINK("https://www.suredividend.com/sure-analysis-GATX/","GATX Corp.")</f>
        <v>GATX Corp.</v>
      </c>
      <c r="C225" t="s">
        <v>385</v>
      </c>
      <c r="D225">
        <v>101.09</v>
      </c>
      <c r="E225">
        <v>2.176278563656148E-2</v>
      </c>
      <c r="F225">
        <v>5.7692307692307709E-2</v>
      </c>
      <c r="G225">
        <v>4.5639552591273169E-2</v>
      </c>
      <c r="H225">
        <v>2.094599945962349</v>
      </c>
      <c r="I225">
        <v>3799.3389999999999</v>
      </c>
      <c r="J225">
        <v>24.370359204618339</v>
      </c>
      <c r="K225">
        <v>0.48262671565952742</v>
      </c>
      <c r="M225">
        <v>125</v>
      </c>
      <c r="N225">
        <v>84.14</v>
      </c>
    </row>
    <row r="226" spans="1:14">
      <c r="A226" s="1" t="s">
        <v>109</v>
      </c>
      <c r="B226" t="str">
        <f>HYPERLINK("https://www.suredividend.com/sure-analysis-DGX/","Quest Diagnostics, Inc.")</f>
        <v>Quest Diagnostics, Inc.</v>
      </c>
      <c r="C226" t="s">
        <v>384</v>
      </c>
      <c r="D226">
        <v>131.53</v>
      </c>
      <c r="E226">
        <v>2.1592032235991789E-2</v>
      </c>
      <c r="F226">
        <v>6.4516129032258229E-2</v>
      </c>
      <c r="G226">
        <v>5.7096868374616028E-2</v>
      </c>
      <c r="H226">
        <v>2.6328990232638718</v>
      </c>
      <c r="I226">
        <v>15674.278822</v>
      </c>
      <c r="J226">
        <v>16.63936180721868</v>
      </c>
      <c r="K226">
        <v>0.32993722096038491</v>
      </c>
      <c r="M226">
        <v>158.34</v>
      </c>
      <c r="N226">
        <v>119.75</v>
      </c>
    </row>
    <row r="227" spans="1:14">
      <c r="A227" s="1" t="s">
        <v>232</v>
      </c>
      <c r="B227" t="str">
        <f>HYPERLINK("https://www.suredividend.com/sure-analysis-research-database/","Monro Inc")</f>
        <v>Monro Inc</v>
      </c>
      <c r="C227" t="s">
        <v>392</v>
      </c>
      <c r="D227">
        <v>47.5</v>
      </c>
      <c r="E227">
        <v>2.1544910125229001E-2</v>
      </c>
      <c r="F227">
        <v>7.6923076923077094E-2</v>
      </c>
      <c r="G227">
        <v>6.9610375725068785E-2</v>
      </c>
      <c r="H227">
        <v>1.090603350539127</v>
      </c>
      <c r="I227">
        <v>1589.283338</v>
      </c>
      <c r="J227">
        <v>33.996819933259182</v>
      </c>
      <c r="K227">
        <v>0.77347755357384884</v>
      </c>
      <c r="M227">
        <v>55.7</v>
      </c>
      <c r="N227">
        <v>36.840000000000003</v>
      </c>
    </row>
    <row r="228" spans="1:14">
      <c r="A228" s="1" t="s">
        <v>227</v>
      </c>
      <c r="B228" t="str">
        <f>HYPERLINK("https://www.suredividend.com/sure-analysis-MKC/","McCormick &amp; Co., Inc.")</f>
        <v>McCormick &amp; Co., Inc.</v>
      </c>
      <c r="C228" t="s">
        <v>387</v>
      </c>
      <c r="D228">
        <v>72.62</v>
      </c>
      <c r="E228">
        <v>2.148168548609199E-2</v>
      </c>
      <c r="F228">
        <v>5.4054054054054168E-2</v>
      </c>
      <c r="G228" t="s">
        <v>393</v>
      </c>
      <c r="H228">
        <v>1.4893972405057061</v>
      </c>
      <c r="I228">
        <v>19543.007792</v>
      </c>
      <c r="J228">
        <v>28.655436645307919</v>
      </c>
      <c r="K228">
        <v>0.59103065099432783</v>
      </c>
      <c r="M228">
        <v>105.45</v>
      </c>
      <c r="N228">
        <v>70.489999999999995</v>
      </c>
    </row>
    <row r="229" spans="1:14">
      <c r="A229" s="1" t="s">
        <v>126</v>
      </c>
      <c r="B229" t="str">
        <f>HYPERLINK("https://www.suredividend.com/sure-analysis-ETN/","Eaton Corporation plc")</f>
        <v>Eaton Corporation plc</v>
      </c>
      <c r="C229" t="s">
        <v>385</v>
      </c>
      <c r="D229">
        <v>160.15</v>
      </c>
      <c r="E229">
        <v>2.1479862628785509E-2</v>
      </c>
      <c r="F229">
        <v>6.1728395061728232E-2</v>
      </c>
      <c r="G229">
        <v>5.4364811125223733E-2</v>
      </c>
      <c r="H229">
        <v>4.0584233441478874</v>
      </c>
      <c r="I229">
        <v>70664.899999999994</v>
      </c>
      <c r="J229">
        <v>28.702233956133231</v>
      </c>
      <c r="K229">
        <v>0.66098100067555177</v>
      </c>
      <c r="M229">
        <v>177.66</v>
      </c>
      <c r="N229">
        <v>120.62</v>
      </c>
    </row>
    <row r="230" spans="1:14">
      <c r="A230" s="1" t="s">
        <v>300</v>
      </c>
      <c r="B230" t="str">
        <f>HYPERLINK("https://www.suredividend.com/sure-analysis-SBUX/","Starbucks Corp.")</f>
        <v>Starbucks Corp.</v>
      </c>
      <c r="C230" t="s">
        <v>392</v>
      </c>
      <c r="D230">
        <v>98.7</v>
      </c>
      <c r="E230">
        <v>2.147922998986829E-2</v>
      </c>
      <c r="F230">
        <v>8.163265306122458E-2</v>
      </c>
      <c r="G230">
        <v>8.0425121842408798E-2</v>
      </c>
      <c r="H230">
        <v>2.0155103068684719</v>
      </c>
      <c r="I230">
        <v>120159.315</v>
      </c>
      <c r="J230">
        <v>36.182756180553461</v>
      </c>
      <c r="K230">
        <v>0.69982996766266392</v>
      </c>
      <c r="M230">
        <v>110.28</v>
      </c>
      <c r="N230">
        <v>66.89</v>
      </c>
    </row>
    <row r="231" spans="1:14">
      <c r="A231" s="1" t="s">
        <v>69</v>
      </c>
      <c r="B231" t="str">
        <f>HYPERLINK("https://www.suredividend.com/sure-analysis-BR/","Broadridge Financial Solutions, Inc.")</f>
        <v>Broadridge Financial Solutions, Inc.</v>
      </c>
      <c r="C231" t="s">
        <v>386</v>
      </c>
      <c r="D231">
        <v>135.16</v>
      </c>
      <c r="E231">
        <v>2.14560520864161E-2</v>
      </c>
      <c r="F231">
        <v>0.1328125</v>
      </c>
      <c r="G231">
        <v>0.1471204666826835</v>
      </c>
      <c r="H231">
        <v>2.7115060795090038</v>
      </c>
      <c r="I231">
        <v>16960.740536000001</v>
      </c>
      <c r="J231">
        <v>31.851155935699531</v>
      </c>
      <c r="K231">
        <v>0.60389890412227254</v>
      </c>
      <c r="M231">
        <v>181.63</v>
      </c>
      <c r="N231">
        <v>130.69</v>
      </c>
    </row>
    <row r="232" spans="1:14">
      <c r="A232" s="1" t="s">
        <v>212</v>
      </c>
      <c r="B232" t="str">
        <f>HYPERLINK("https://www.suredividend.com/sure-analysis-LOW/","Lowe`s Cos., Inc.")</f>
        <v>Lowe`s Cos., Inc.</v>
      </c>
      <c r="C232" t="s">
        <v>392</v>
      </c>
      <c r="D232">
        <v>197.36</v>
      </c>
      <c r="E232">
        <v>2.1280907985407379E-2</v>
      </c>
      <c r="F232">
        <v>0.3125</v>
      </c>
      <c r="G232">
        <v>0.20692723768560059</v>
      </c>
      <c r="H232">
        <v>3.9204542516308898</v>
      </c>
      <c r="I232">
        <v>123550.44786099999</v>
      </c>
      <c r="J232">
        <v>18.548333262475609</v>
      </c>
      <c r="K232">
        <v>0.38211055084121742</v>
      </c>
      <c r="M232">
        <v>233.55</v>
      </c>
      <c r="N232">
        <v>167.36</v>
      </c>
    </row>
    <row r="233" spans="1:14">
      <c r="A233" s="1" t="s">
        <v>16</v>
      </c>
      <c r="B233" t="str">
        <f>HYPERLINK("https://www.suredividend.com/sure-analysis-ABT/","Abbott Laboratories")</f>
        <v>Abbott Laboratories</v>
      </c>
      <c r="C233" t="s">
        <v>384</v>
      </c>
      <c r="D233">
        <v>97.01</v>
      </c>
      <c r="E233">
        <v>2.102875992165756E-2</v>
      </c>
      <c r="F233">
        <v>8.5106382978723305E-2</v>
      </c>
      <c r="G233">
        <v>0.12741141818969501</v>
      </c>
      <c r="H233">
        <v>1.9071889832803419</v>
      </c>
      <c r="I233">
        <v>181528.48403699999</v>
      </c>
      <c r="J233">
        <v>26.18325170010818</v>
      </c>
      <c r="K233">
        <v>0.48528981762858581</v>
      </c>
      <c r="M233">
        <v>122.66</v>
      </c>
      <c r="N233">
        <v>92.83</v>
      </c>
    </row>
    <row r="234" spans="1:14">
      <c r="A234" s="1" t="s">
        <v>225</v>
      </c>
      <c r="B234" t="str">
        <f>HYPERLINK("https://www.suredividend.com/sure-analysis-MGEE/","MGE Energy, Inc.")</f>
        <v>MGE Energy, Inc.</v>
      </c>
      <c r="C234" t="s">
        <v>389</v>
      </c>
      <c r="D234">
        <v>77.599999999999994</v>
      </c>
      <c r="E234">
        <v>2.1005154639175259E-2</v>
      </c>
      <c r="F234">
        <v>5.1612903225806583E-2</v>
      </c>
      <c r="G234">
        <v>4.7899368944602561E-2</v>
      </c>
      <c r="H234">
        <v>1.5965367513406601</v>
      </c>
      <c r="I234">
        <v>2576.6401129999999</v>
      </c>
      <c r="J234">
        <v>23.223016371944631</v>
      </c>
      <c r="K234">
        <v>0.52004454441063852</v>
      </c>
      <c r="M234">
        <v>84.83</v>
      </c>
      <c r="N234">
        <v>60.96</v>
      </c>
    </row>
    <row r="235" spans="1:14">
      <c r="A235" s="1" t="s">
        <v>309</v>
      </c>
      <c r="B235" t="str">
        <f>HYPERLINK("https://www.suredividend.com/sure-analysis-research-database/","Southern Missouri Bancorp, Inc.")</f>
        <v>Southern Missouri Bancorp, Inc.</v>
      </c>
      <c r="C235" t="s">
        <v>388</v>
      </c>
      <c r="D235">
        <v>39.869999999999997</v>
      </c>
      <c r="E235">
        <v>2.0689119182148E-2</v>
      </c>
      <c r="F235">
        <v>4.9999999999999822E-2</v>
      </c>
      <c r="G235">
        <v>0.13806042630985371</v>
      </c>
      <c r="H235">
        <v>0.82487518179227703</v>
      </c>
      <c r="I235">
        <v>450.81758600000001</v>
      </c>
      <c r="J235">
        <v>0</v>
      </c>
      <c r="K235" t="s">
        <v>393</v>
      </c>
      <c r="M235">
        <v>55.57</v>
      </c>
      <c r="N235">
        <v>37.61</v>
      </c>
    </row>
    <row r="236" spans="1:14">
      <c r="A236" s="1" t="s">
        <v>278</v>
      </c>
      <c r="B236" t="str">
        <f>HYPERLINK("https://www.suredividend.com/sure-analysis-PPG/","PPG Industries, Inc.")</f>
        <v>PPG Industries, Inc.</v>
      </c>
      <c r="C236" t="s">
        <v>390</v>
      </c>
      <c r="D236">
        <v>122.49</v>
      </c>
      <c r="E236">
        <v>2.0246550738835821E-2</v>
      </c>
      <c r="F236">
        <v>5.0847457627118731E-2</v>
      </c>
      <c r="G236">
        <v>6.6193020302802719E-2</v>
      </c>
      <c r="H236">
        <v>2.4321076836952522</v>
      </c>
      <c r="I236">
        <v>32327.841838</v>
      </c>
      <c r="J236">
        <v>31.508617775614042</v>
      </c>
      <c r="K236">
        <v>0.56298788974427127</v>
      </c>
      <c r="M236">
        <v>137.51</v>
      </c>
      <c r="N236">
        <v>105.47</v>
      </c>
    </row>
    <row r="237" spans="1:14">
      <c r="A237" s="1" t="s">
        <v>162</v>
      </c>
      <c r="B237" t="str">
        <f>HYPERLINK("https://www.suredividend.com/sure-analysis-HI/","Hillenbrand Inc")</f>
        <v>Hillenbrand Inc</v>
      </c>
      <c r="C237" t="s">
        <v>385</v>
      </c>
      <c r="D237">
        <v>43.67</v>
      </c>
      <c r="E237">
        <v>2.0151133501259449E-2</v>
      </c>
      <c r="F237">
        <v>1.1494252873563321E-2</v>
      </c>
      <c r="G237">
        <v>1.176794512623491E-2</v>
      </c>
      <c r="H237">
        <v>0.8660312042655921</v>
      </c>
      <c r="I237">
        <v>3446.2528349999998</v>
      </c>
      <c r="J237">
        <v>16.778251387341768</v>
      </c>
      <c r="K237">
        <v>0.30070527925888618</v>
      </c>
      <c r="M237">
        <v>53.3</v>
      </c>
      <c r="N237">
        <v>35.85</v>
      </c>
    </row>
    <row r="238" spans="1:14">
      <c r="A238" s="1" t="s">
        <v>15</v>
      </c>
      <c r="B238" t="str">
        <f>HYPERLINK("https://www.suredividend.com/sure-analysis-ABM/","ABM Industries Inc.")</f>
        <v>ABM Industries Inc.</v>
      </c>
      <c r="C238" t="s">
        <v>385</v>
      </c>
      <c r="D238">
        <v>43.73</v>
      </c>
      <c r="E238">
        <v>2.012348502172422E-2</v>
      </c>
      <c r="F238">
        <v>0.12820512820512819</v>
      </c>
      <c r="G238">
        <v>4.683184708394994E-2</v>
      </c>
      <c r="H238">
        <v>0.79944993343189508</v>
      </c>
      <c r="I238">
        <v>3226.8635949999998</v>
      </c>
      <c r="J238">
        <v>14.0054843546007</v>
      </c>
      <c r="K238">
        <v>0.23444279572782839</v>
      </c>
      <c r="M238">
        <v>53.24</v>
      </c>
      <c r="N238">
        <v>37.32</v>
      </c>
    </row>
    <row r="239" spans="1:14">
      <c r="A239" s="1" t="s">
        <v>307</v>
      </c>
      <c r="B239" t="str">
        <f>HYPERLINK("https://www.suredividend.com/sure-analysis-SJW/","SJW Group")</f>
        <v>SJW Group</v>
      </c>
      <c r="C239" t="s">
        <v>389</v>
      </c>
      <c r="D239">
        <v>75.7</v>
      </c>
      <c r="E239">
        <v>2.007926023778071E-2</v>
      </c>
      <c r="F239">
        <v>5.555555555555558E-2</v>
      </c>
      <c r="G239">
        <v>6.2980048262344379E-2</v>
      </c>
      <c r="H239">
        <v>1.4492912747741089</v>
      </c>
      <c r="I239">
        <v>2337.5533780000001</v>
      </c>
      <c r="J239">
        <v>31.66215226905781</v>
      </c>
      <c r="K239">
        <v>0.59641616245848095</v>
      </c>
      <c r="M239">
        <v>83.49</v>
      </c>
      <c r="N239">
        <v>54.89</v>
      </c>
    </row>
    <row r="240" spans="1:14">
      <c r="A240" s="1" t="s">
        <v>226</v>
      </c>
      <c r="B240" t="str">
        <f>HYPERLINK("https://www.suredividend.com/sure-analysis-MGRC/","McGrath Rentcorp")</f>
        <v>McGrath Rentcorp</v>
      </c>
      <c r="C240" t="s">
        <v>385</v>
      </c>
      <c r="D240">
        <v>92.8</v>
      </c>
      <c r="E240">
        <v>2.004310344827586E-2</v>
      </c>
      <c r="F240">
        <v>4.5977011494252817E-2</v>
      </c>
      <c r="G240">
        <v>6.0001539273940807E-2</v>
      </c>
      <c r="H240">
        <v>1.806244549160992</v>
      </c>
      <c r="I240">
        <v>2457.5379269999999</v>
      </c>
      <c r="J240">
        <v>21.344281879136339</v>
      </c>
      <c r="K240">
        <v>0.38430735088531748</v>
      </c>
      <c r="M240">
        <v>111.7</v>
      </c>
      <c r="N240">
        <v>72.13</v>
      </c>
    </row>
    <row r="241" spans="1:14">
      <c r="A241" s="1" t="s">
        <v>293</v>
      </c>
      <c r="B241" t="str">
        <f>HYPERLINK("https://www.suredividend.com/sure-analysis-RPM/","RPM International, Inc.")</f>
        <v>RPM International, Inc.</v>
      </c>
      <c r="C241" t="s">
        <v>390</v>
      </c>
      <c r="D241">
        <v>84.34</v>
      </c>
      <c r="E241">
        <v>1.9919373962532599E-2</v>
      </c>
      <c r="F241">
        <v>4.9999999999999822E-2</v>
      </c>
      <c r="G241">
        <v>5.5892882483376871E-2</v>
      </c>
      <c r="H241">
        <v>1.6284361141674499</v>
      </c>
      <c r="I241">
        <v>11756.229852</v>
      </c>
      <c r="J241">
        <v>22.235518355349011</v>
      </c>
      <c r="K241">
        <v>0.3991264985704534</v>
      </c>
      <c r="M241">
        <v>105.98</v>
      </c>
      <c r="N241">
        <v>73.489999999999995</v>
      </c>
    </row>
    <row r="242" spans="1:14">
      <c r="A242" s="1" t="s">
        <v>185</v>
      </c>
      <c r="B242" t="str">
        <f>HYPERLINK("https://www.suredividend.com/sure-analysis-JJSF/","J&amp;J Snack Foods Corp.")</f>
        <v>J&amp;J Snack Foods Corp.</v>
      </c>
      <c r="C242" t="s">
        <v>387</v>
      </c>
      <c r="D242">
        <v>140.81</v>
      </c>
      <c r="E242">
        <v>1.988495135288687E-2</v>
      </c>
      <c r="F242" t="s">
        <v>393</v>
      </c>
      <c r="G242" t="s">
        <v>393</v>
      </c>
      <c r="H242">
        <v>2.6475445984460388</v>
      </c>
      <c r="I242">
        <v>2762.1009610000001</v>
      </c>
      <c r="J242">
        <v>64.569767893961711</v>
      </c>
      <c r="K242">
        <v>1.192587656957675</v>
      </c>
      <c r="M242">
        <v>165.14</v>
      </c>
      <c r="N242">
        <v>115.74</v>
      </c>
    </row>
    <row r="243" spans="1:14">
      <c r="A243" s="1" t="s">
        <v>56</v>
      </c>
      <c r="B243" t="str">
        <f>HYPERLINK("https://www.suredividend.com/sure-analysis-BANF/","Bancfirst Corp.")</f>
        <v>Bancfirst Corp.</v>
      </c>
      <c r="C243" t="s">
        <v>388</v>
      </c>
      <c r="D243">
        <v>83.64</v>
      </c>
      <c r="E243">
        <v>1.9607843137254902E-2</v>
      </c>
      <c r="F243">
        <v>0.1111111111111112</v>
      </c>
      <c r="G243">
        <v>0.137543830351883</v>
      </c>
      <c r="H243">
        <v>1.5104518224889141</v>
      </c>
      <c r="I243">
        <v>2960.84998</v>
      </c>
      <c r="J243">
        <v>15.33324692118074</v>
      </c>
      <c r="K243">
        <v>0.26177674566532311</v>
      </c>
      <c r="M243">
        <v>117.02</v>
      </c>
      <c r="N243">
        <v>73.739999999999995</v>
      </c>
    </row>
    <row r="244" spans="1:14">
      <c r="A244" s="1" t="s">
        <v>327</v>
      </c>
      <c r="B244" t="str">
        <f>HYPERLINK("https://www.suredividend.com/sure-analysis-research-database/","Stock Yards Bancorp Inc")</f>
        <v>Stock Yards Bancorp Inc</v>
      </c>
      <c r="C244" t="s">
        <v>388</v>
      </c>
      <c r="D244">
        <v>52.28</v>
      </c>
      <c r="E244">
        <v>1.9559629800784999E-2</v>
      </c>
      <c r="F244">
        <v>3.5714285714285587E-2</v>
      </c>
      <c r="G244">
        <v>4.7451763732829999E-2</v>
      </c>
      <c r="H244">
        <v>1.132502565465457</v>
      </c>
      <c r="I244">
        <v>1694.2270120000001</v>
      </c>
      <c r="J244">
        <v>18.22298124058856</v>
      </c>
      <c r="K244">
        <v>0.35280453752817981</v>
      </c>
      <c r="M244">
        <v>78.36</v>
      </c>
      <c r="N244">
        <v>49.91</v>
      </c>
    </row>
    <row r="245" spans="1:14">
      <c r="A245" s="1" t="s">
        <v>35</v>
      </c>
      <c r="B245" t="str">
        <f>HYPERLINK("https://www.suredividend.com/sure-analysis-ANDE/","Andersons Inc.")</f>
        <v>Andersons Inc.</v>
      </c>
      <c r="C245" t="s">
        <v>387</v>
      </c>
      <c r="D245">
        <v>38.15</v>
      </c>
      <c r="E245">
        <v>1.9397116644823069E-2</v>
      </c>
      <c r="F245">
        <v>2.7777777777777901E-2</v>
      </c>
      <c r="G245">
        <v>2.314587308046168E-2</v>
      </c>
      <c r="H245">
        <v>0.71910612336402702</v>
      </c>
      <c r="I245">
        <v>1553.5745139999999</v>
      </c>
      <c r="J245">
        <v>11.85210950442478</v>
      </c>
      <c r="K245">
        <v>0.1887417646624743</v>
      </c>
      <c r="M245">
        <v>58.03</v>
      </c>
      <c r="N245">
        <v>29.03</v>
      </c>
    </row>
    <row r="246" spans="1:14">
      <c r="A246" s="1" t="s">
        <v>123</v>
      </c>
      <c r="B246" t="str">
        <f>HYPERLINK("https://www.suredividend.com/sure-analysis-ERIE/","Erie Indemnity Co.")</f>
        <v>Erie Indemnity Co.</v>
      </c>
      <c r="C246" t="s">
        <v>388</v>
      </c>
      <c r="D246">
        <v>229.23</v>
      </c>
      <c r="E246">
        <v>1.936919251406884E-2</v>
      </c>
      <c r="F246">
        <v>7.2072072072072002E-2</v>
      </c>
      <c r="G246">
        <v>7.2145025900850923E-2</v>
      </c>
      <c r="H246">
        <v>4.4931016212935724</v>
      </c>
      <c r="I246">
        <v>10885.377656000001</v>
      </c>
      <c r="J246">
        <v>36.458499226510447</v>
      </c>
      <c r="K246">
        <v>0.78688294593582708</v>
      </c>
      <c r="M246">
        <v>285.10000000000002</v>
      </c>
      <c r="N246">
        <v>156.91999999999999</v>
      </c>
    </row>
    <row r="247" spans="1:14">
      <c r="A247" s="1" t="s">
        <v>367</v>
      </c>
      <c r="B247" t="str">
        <f>HYPERLINK("https://www.suredividend.com/sure-analysis-WDFC/","WD-40 Co.")</f>
        <v>WD-40 Co.</v>
      </c>
      <c r="C247" t="s">
        <v>390</v>
      </c>
      <c r="D247">
        <v>171.89</v>
      </c>
      <c r="E247">
        <v>1.9314677991738909E-2</v>
      </c>
      <c r="F247">
        <v>6.4102564102564097E-2</v>
      </c>
      <c r="G247">
        <v>8.9775064658225157E-2</v>
      </c>
      <c r="H247">
        <v>3.1479381824809591</v>
      </c>
      <c r="I247">
        <v>2349.9747280000001</v>
      </c>
      <c r="J247">
        <v>37.581556504078051</v>
      </c>
      <c r="K247">
        <v>0.68732274726658493</v>
      </c>
      <c r="M247">
        <v>207.66</v>
      </c>
      <c r="N247">
        <v>144.44999999999999</v>
      </c>
    </row>
    <row r="248" spans="1:14">
      <c r="A248" s="1" t="s">
        <v>288</v>
      </c>
      <c r="B248" t="str">
        <f>HYPERLINK("https://www.suredividend.com/sure-analysis-RJF/","Raymond James Financial, Inc.")</f>
        <v>Raymond James Financial, Inc.</v>
      </c>
      <c r="C248" t="s">
        <v>388</v>
      </c>
      <c r="D248">
        <v>88.02</v>
      </c>
      <c r="E248">
        <v>1.9086571233810499E-2</v>
      </c>
      <c r="F248">
        <v>0.23529411764705871</v>
      </c>
      <c r="G248">
        <v>0.10933280572585161</v>
      </c>
      <c r="H248">
        <v>1.4324181809762651</v>
      </c>
      <c r="I248">
        <v>23245.044256000001</v>
      </c>
      <c r="J248">
        <v>14.84357870762452</v>
      </c>
      <c r="K248">
        <v>0.19867103758339319</v>
      </c>
      <c r="M248">
        <v>125.51</v>
      </c>
      <c r="N248">
        <v>83.92</v>
      </c>
    </row>
    <row r="249" spans="1:14">
      <c r="A249" s="1" t="s">
        <v>171</v>
      </c>
      <c r="B249" t="str">
        <f>HYPERLINK("https://www.suredividend.com/sure-analysis-HUBB/","Hubbell Inc.")</f>
        <v>Hubbell Inc.</v>
      </c>
      <c r="C249" t="s">
        <v>385</v>
      </c>
      <c r="D249">
        <v>234.97</v>
      </c>
      <c r="E249">
        <v>1.906626377835469E-2</v>
      </c>
      <c r="F249">
        <v>6.6666666666666652E-2</v>
      </c>
      <c r="G249">
        <v>7.7818067712725814E-2</v>
      </c>
      <c r="H249">
        <v>4.3112158479887714</v>
      </c>
      <c r="I249">
        <v>13563.093800000001</v>
      </c>
      <c r="J249">
        <v>24.909263176639119</v>
      </c>
      <c r="K249">
        <v>0.42855028310027549</v>
      </c>
      <c r="M249">
        <v>262.14</v>
      </c>
      <c r="N249">
        <v>167.86</v>
      </c>
    </row>
    <row r="250" spans="1:14">
      <c r="A250" s="1" t="s">
        <v>258</v>
      </c>
      <c r="B250" t="str">
        <f>HYPERLINK("https://www.suredividend.com/sure-analysis-ORCL/","Oracle Corp.")</f>
        <v>Oracle Corp.</v>
      </c>
      <c r="C250" t="s">
        <v>386</v>
      </c>
      <c r="D250">
        <v>85.26</v>
      </c>
      <c r="E250">
        <v>1.8766127140511381E-2</v>
      </c>
      <c r="F250">
        <v>0</v>
      </c>
      <c r="G250">
        <v>0.1098883056567086</v>
      </c>
      <c r="H250">
        <v>1.27174099536041</v>
      </c>
      <c r="I250">
        <v>240640.58025</v>
      </c>
      <c r="J250">
        <v>27.35795591746248</v>
      </c>
      <c r="K250">
        <v>0.40118012471937231</v>
      </c>
      <c r="M250">
        <v>91.22</v>
      </c>
      <c r="N250">
        <v>60.24</v>
      </c>
    </row>
    <row r="251" spans="1:14">
      <c r="A251" s="1" t="s">
        <v>78</v>
      </c>
      <c r="B251" t="str">
        <f>HYPERLINK("https://www.suredividend.com/sure-analysis-CBSH/","Commerce Bancshares, Inc.")</f>
        <v>Commerce Bancshares, Inc.</v>
      </c>
      <c r="C251" t="s">
        <v>388</v>
      </c>
      <c r="D251">
        <v>58.14</v>
      </c>
      <c r="E251">
        <v>1.857585139318885E-2</v>
      </c>
      <c r="F251">
        <v>1.8867924528301879E-2</v>
      </c>
      <c r="G251">
        <v>2.8156393247250389E-2</v>
      </c>
      <c r="H251">
        <v>1.0211666136387649</v>
      </c>
      <c r="I251">
        <v>8239.425201</v>
      </c>
      <c r="J251">
        <v>17.02539978621714</v>
      </c>
      <c r="K251">
        <v>0.26523808146461431</v>
      </c>
      <c r="M251">
        <v>72.599999999999994</v>
      </c>
      <c r="N251">
        <v>59.81</v>
      </c>
    </row>
    <row r="252" spans="1:14">
      <c r="A252" s="1" t="s">
        <v>18</v>
      </c>
      <c r="B252" t="str">
        <f>HYPERLINK("https://www.suredividend.com/sure-analysis-ADI/","Analog Devices Inc.")</f>
        <v>Analog Devices Inc.</v>
      </c>
      <c r="C252" t="s">
        <v>386</v>
      </c>
      <c r="D252">
        <v>185.85</v>
      </c>
      <c r="E252">
        <v>1.850955071294054E-2</v>
      </c>
      <c r="F252">
        <v>0.13157894736842099</v>
      </c>
      <c r="G252">
        <v>0.1237027476042598</v>
      </c>
      <c r="H252">
        <v>3.119125148978557</v>
      </c>
      <c r="I252">
        <v>94215.027939000007</v>
      </c>
      <c r="J252">
        <v>27.4682745207813</v>
      </c>
      <c r="K252">
        <v>0.47116694093331668</v>
      </c>
      <c r="M252">
        <v>195.5</v>
      </c>
      <c r="N252">
        <v>132.27000000000001</v>
      </c>
    </row>
    <row r="253" spans="1:14">
      <c r="A253" s="1" t="s">
        <v>53</v>
      </c>
      <c r="B253" t="str">
        <f>HYPERLINK("https://www.suredividend.com/sure-analysis-AWK/","American Water Works Co. Inc.")</f>
        <v>American Water Works Co. Inc.</v>
      </c>
      <c r="C253" t="s">
        <v>389</v>
      </c>
      <c r="D253">
        <v>141.81</v>
      </c>
      <c r="E253">
        <v>1.8475424864254991E-2</v>
      </c>
      <c r="F253">
        <v>8.7136929460580825E-2</v>
      </c>
      <c r="G253">
        <v>7.5588080185412077E-2</v>
      </c>
      <c r="H253">
        <v>2.6029042160393039</v>
      </c>
      <c r="I253">
        <v>25420.724241</v>
      </c>
      <c r="J253">
        <v>31.000883220731701</v>
      </c>
      <c r="K253">
        <v>0.57714062439895875</v>
      </c>
      <c r="M253">
        <v>170.85</v>
      </c>
      <c r="N253">
        <v>121.68</v>
      </c>
    </row>
    <row r="254" spans="1:14">
      <c r="A254" s="1" t="s">
        <v>54</v>
      </c>
      <c r="B254" t="str">
        <f>HYPERLINK("https://www.suredividend.com/sure-analysis-AWR/","American States Water Co.")</f>
        <v>American States Water Co.</v>
      </c>
      <c r="C254" t="s">
        <v>389</v>
      </c>
      <c r="D254">
        <v>86.74</v>
      </c>
      <c r="E254">
        <v>1.8330643301821541E-2</v>
      </c>
      <c r="F254">
        <v>8.9041095890411093E-2</v>
      </c>
      <c r="G254">
        <v>9.2847065672327478E-2</v>
      </c>
      <c r="H254">
        <v>1.5476145719575389</v>
      </c>
      <c r="I254">
        <v>3223.7510379999999</v>
      </c>
      <c r="J254">
        <v>41.224965004667581</v>
      </c>
      <c r="K254">
        <v>0.73346662178082422</v>
      </c>
      <c r="M254">
        <v>100.07</v>
      </c>
      <c r="N254">
        <v>70.290000000000006</v>
      </c>
    </row>
    <row r="255" spans="1:14">
      <c r="A255" s="1" t="s">
        <v>38</v>
      </c>
      <c r="B255" t="str">
        <f>HYPERLINK("https://www.suredividend.com/sure-analysis-AOS/","A.O. Smith Corp.")</f>
        <v>A.O. Smith Corp.</v>
      </c>
      <c r="C255" t="s">
        <v>385</v>
      </c>
      <c r="D255">
        <v>65.47</v>
      </c>
      <c r="E255">
        <v>1.8329005651443409E-2</v>
      </c>
      <c r="F255">
        <v>7.1428571428571397E-2</v>
      </c>
      <c r="G255">
        <v>0.10756634324829011</v>
      </c>
      <c r="H255">
        <v>1.1512238393871439</v>
      </c>
      <c r="I255">
        <v>10408.596654999999</v>
      </c>
      <c r="J255">
        <v>36.124224769664828</v>
      </c>
      <c r="K255">
        <v>0.76239989363387028</v>
      </c>
      <c r="M255">
        <v>71.87</v>
      </c>
      <c r="N255">
        <v>46.08</v>
      </c>
    </row>
    <row r="256" spans="1:14">
      <c r="A256" s="1" t="s">
        <v>371</v>
      </c>
      <c r="B256" t="str">
        <f>HYPERLINK("https://www.suredividend.com/sure-analysis-WM/","Waste Management, Inc.")</f>
        <v>Waste Management, Inc.</v>
      </c>
      <c r="C256" t="s">
        <v>385</v>
      </c>
      <c r="D256">
        <v>153.15</v>
      </c>
      <c r="E256">
        <v>1.828272935031015E-2</v>
      </c>
      <c r="F256">
        <v>7.6923076923077094E-2</v>
      </c>
      <c r="G256">
        <v>8.5248058157014306E-2</v>
      </c>
      <c r="H256">
        <v>2.5849529063943191</v>
      </c>
      <c r="I256">
        <v>61255.476473000002</v>
      </c>
      <c r="J256">
        <v>27.370632919106349</v>
      </c>
      <c r="K256">
        <v>0.4795830995165713</v>
      </c>
      <c r="M256">
        <v>174.64</v>
      </c>
      <c r="N256">
        <v>137.83000000000001</v>
      </c>
    </row>
    <row r="257" spans="1:14">
      <c r="A257" s="1" t="s">
        <v>331</v>
      </c>
      <c r="B257" t="str">
        <f>HYPERLINK("https://www.suredividend.com/sure-analysis-TEL/","TE Connectivity Ltd")</f>
        <v>TE Connectivity Ltd</v>
      </c>
      <c r="C257" t="s">
        <v>386</v>
      </c>
      <c r="D257">
        <v>123.23</v>
      </c>
      <c r="E257">
        <v>1.8177391868863101E-2</v>
      </c>
      <c r="F257">
        <v>0.12000000000000011</v>
      </c>
      <c r="G257">
        <v>4.9414522844583919E-2</v>
      </c>
      <c r="H257">
        <v>2.2256782264647592</v>
      </c>
      <c r="I257">
        <v>41291.259255999998</v>
      </c>
      <c r="J257">
        <v>18.278556554085881</v>
      </c>
      <c r="K257">
        <v>0.31750046026601408</v>
      </c>
      <c r="M257">
        <v>136.47999999999999</v>
      </c>
      <c r="N257">
        <v>103.85</v>
      </c>
    </row>
    <row r="258" spans="1:14">
      <c r="A258" s="1" t="s">
        <v>383</v>
      </c>
      <c r="B258" t="str">
        <f>HYPERLINK("https://www.suredividend.com/sure-analysis-YORW/","York Water Co.")</f>
        <v>York Water Co.</v>
      </c>
      <c r="C258" t="s">
        <v>389</v>
      </c>
      <c r="D258">
        <v>44.57</v>
      </c>
      <c r="E258">
        <v>1.8173659412160651E-2</v>
      </c>
      <c r="F258">
        <v>4.0020523345305259E-2</v>
      </c>
      <c r="G258">
        <v>4.0005773671458078E-2</v>
      </c>
      <c r="H258">
        <v>0.78986315106357607</v>
      </c>
      <c r="I258">
        <v>619.87785799999995</v>
      </c>
      <c r="J258">
        <v>33.380606236941297</v>
      </c>
      <c r="K258">
        <v>0.58078172872321776</v>
      </c>
      <c r="M258">
        <v>47.06</v>
      </c>
      <c r="N258">
        <v>36.520000000000003</v>
      </c>
    </row>
    <row r="259" spans="1:14">
      <c r="A259" s="1" t="s">
        <v>151</v>
      </c>
      <c r="B259" t="str">
        <f>HYPERLINK("https://www.suredividend.com/sure-analysis-GNTX/","Gentex Corp.")</f>
        <v>Gentex Corp.</v>
      </c>
      <c r="C259" t="s">
        <v>392</v>
      </c>
      <c r="D259">
        <v>26.53</v>
      </c>
      <c r="E259">
        <v>1.8092725216735769E-2</v>
      </c>
      <c r="F259">
        <v>0</v>
      </c>
      <c r="G259">
        <v>1.7554577175587619E-2</v>
      </c>
      <c r="H259">
        <v>0.47680628730116698</v>
      </c>
      <c r="I259">
        <v>6732.6120950000004</v>
      </c>
      <c r="J259">
        <v>21.44948027412633</v>
      </c>
      <c r="K259">
        <v>0.35059285830968168</v>
      </c>
      <c r="M259">
        <v>31.06</v>
      </c>
      <c r="N259">
        <v>23.18</v>
      </c>
    </row>
    <row r="260" spans="1:14">
      <c r="A260" s="1" t="s">
        <v>52</v>
      </c>
      <c r="B260" t="str">
        <f>HYPERLINK("https://www.suredividend.com/sure-analysis-AVY/","Avery Dennison Corp.")</f>
        <v>Avery Dennison Corp.</v>
      </c>
      <c r="C260" t="s">
        <v>385</v>
      </c>
      <c r="D260">
        <v>166.47</v>
      </c>
      <c r="E260">
        <v>1.8021265092809519E-2</v>
      </c>
      <c r="F260" t="s">
        <v>393</v>
      </c>
      <c r="G260" t="s">
        <v>393</v>
      </c>
      <c r="H260">
        <v>2.9848666568312239</v>
      </c>
      <c r="I260">
        <v>14817.636617</v>
      </c>
      <c r="J260">
        <v>19.571571281019679</v>
      </c>
      <c r="K260">
        <v>0.32408975644204391</v>
      </c>
      <c r="M260">
        <v>202.73</v>
      </c>
      <c r="N260">
        <v>150.4</v>
      </c>
    </row>
    <row r="261" spans="1:14">
      <c r="A261" s="1" t="s">
        <v>136</v>
      </c>
      <c r="B261" t="str">
        <f>HYPERLINK("https://www.suredividend.com/sure-analysis-research-database/","First Financial Bankshares, Inc.")</f>
        <v>First Financial Bankshares, Inc.</v>
      </c>
      <c r="C261" t="s">
        <v>388</v>
      </c>
      <c r="D261">
        <v>30.24</v>
      </c>
      <c r="E261">
        <v>1.8009967711876001E-2</v>
      </c>
      <c r="F261">
        <v>0.1333333333333335</v>
      </c>
      <c r="G261" t="s">
        <v>393</v>
      </c>
      <c r="H261">
        <v>0.65574292438944004</v>
      </c>
      <c r="I261">
        <v>5195.7440290000004</v>
      </c>
      <c r="J261">
        <v>22.159053327518919</v>
      </c>
      <c r="K261">
        <v>0.39984324657892678</v>
      </c>
      <c r="M261">
        <v>46.85</v>
      </c>
      <c r="N261">
        <v>32.53</v>
      </c>
    </row>
    <row r="262" spans="1:14">
      <c r="A262" s="1" t="s">
        <v>17</v>
      </c>
      <c r="B262" t="str">
        <f>HYPERLINK("https://www.suredividend.com/sure-analysis-ACN/","Accenture plc")</f>
        <v>Accenture plc</v>
      </c>
      <c r="C262" t="s">
        <v>386</v>
      </c>
      <c r="D262">
        <v>250</v>
      </c>
      <c r="E262">
        <v>1.7919999999999998E-2</v>
      </c>
      <c r="F262" t="s">
        <v>393</v>
      </c>
      <c r="G262" t="s">
        <v>393</v>
      </c>
      <c r="H262">
        <v>4.1555717438966706</v>
      </c>
      <c r="I262">
        <v>177238.18770000001</v>
      </c>
      <c r="J262">
        <v>25.136264324846</v>
      </c>
      <c r="K262">
        <v>0.37812299762481077</v>
      </c>
      <c r="M262">
        <v>340.14</v>
      </c>
      <c r="N262">
        <v>241.96</v>
      </c>
    </row>
    <row r="263" spans="1:14">
      <c r="A263" s="1" t="s">
        <v>250</v>
      </c>
      <c r="B263" t="str">
        <f>HYPERLINK("https://www.suredividend.com/sure-analysis-NSP/","Insperity Inc")</f>
        <v>Insperity Inc</v>
      </c>
      <c r="C263" t="s">
        <v>385</v>
      </c>
      <c r="D263">
        <v>116.34</v>
      </c>
      <c r="E263">
        <v>1.787863159704315E-2</v>
      </c>
      <c r="F263">
        <v>0.1555555555555557</v>
      </c>
      <c r="G263">
        <v>0.2105832751075947</v>
      </c>
      <c r="H263">
        <v>1.9965971466091601</v>
      </c>
      <c r="I263">
        <v>4670.5208929999999</v>
      </c>
      <c r="J263">
        <v>26.041376597881239</v>
      </c>
      <c r="K263">
        <v>0.43030110918300868</v>
      </c>
      <c r="M263">
        <v>125.95</v>
      </c>
      <c r="N263">
        <v>82.62</v>
      </c>
    </row>
    <row r="264" spans="1:14">
      <c r="A264" s="1" t="s">
        <v>70</v>
      </c>
      <c r="B264" t="str">
        <f>HYPERLINK("https://www.suredividend.com/sure-analysis-BRC/","Brady Corp.")</f>
        <v>Brady Corp.</v>
      </c>
      <c r="C264" t="s">
        <v>385</v>
      </c>
      <c r="D264">
        <v>51.57</v>
      </c>
      <c r="E264">
        <v>1.783982935815397E-2</v>
      </c>
      <c r="F264">
        <v>2.222222222222214E-2</v>
      </c>
      <c r="G264">
        <v>2.0803021819608469E-2</v>
      </c>
      <c r="H264">
        <v>0.90326002560299312</v>
      </c>
      <c r="I264">
        <v>2586.9381079999998</v>
      </c>
      <c r="J264">
        <v>16.400637199335591</v>
      </c>
      <c r="K264">
        <v>0.28950641846249781</v>
      </c>
      <c r="M264">
        <v>56.35</v>
      </c>
      <c r="N264">
        <v>40.32</v>
      </c>
    </row>
    <row r="265" spans="1:14">
      <c r="A265" s="1" t="s">
        <v>76</v>
      </c>
      <c r="B265" t="str">
        <f>HYPERLINK("https://www.suredividend.com/sure-analysis-CB/","Chubb Limited")</f>
        <v>Chubb Limited</v>
      </c>
      <c r="C265" t="s">
        <v>388</v>
      </c>
      <c r="D265">
        <v>186.8</v>
      </c>
      <c r="E265">
        <v>1.777301927194861E-2</v>
      </c>
      <c r="F265">
        <v>3.7500000000000089E-2</v>
      </c>
      <c r="G265">
        <v>2.600870726911864E-2</v>
      </c>
      <c r="H265">
        <v>3.2703043371050891</v>
      </c>
      <c r="I265">
        <v>85637.158043999996</v>
      </c>
      <c r="J265">
        <v>16.118418604103141</v>
      </c>
      <c r="K265">
        <v>0.26078981954586039</v>
      </c>
      <c r="M265">
        <v>231.37</v>
      </c>
      <c r="N265">
        <v>173.11</v>
      </c>
    </row>
    <row r="266" spans="1:14">
      <c r="A266" s="1" t="s">
        <v>34</v>
      </c>
      <c r="B266" t="str">
        <f>HYPERLINK("https://www.suredividend.com/sure-analysis-AMP/","Ameriprise Financial Inc")</f>
        <v>Ameriprise Financial Inc</v>
      </c>
      <c r="C266" t="s">
        <v>388</v>
      </c>
      <c r="D266">
        <v>281.43</v>
      </c>
      <c r="E266">
        <v>1.7766407277120418E-2</v>
      </c>
      <c r="F266">
        <v>0.1061946902654869</v>
      </c>
      <c r="G266">
        <v>6.790716584560208E-2</v>
      </c>
      <c r="H266">
        <v>4.9708641250396797</v>
      </c>
      <c r="I266">
        <v>36706.484450999997</v>
      </c>
      <c r="J266">
        <v>14.34407364246581</v>
      </c>
      <c r="K266">
        <v>0.2208291481581377</v>
      </c>
      <c r="M266">
        <v>357.46</v>
      </c>
      <c r="N266">
        <v>217.31</v>
      </c>
    </row>
    <row r="267" spans="1:14">
      <c r="A267" s="1" t="s">
        <v>345</v>
      </c>
      <c r="B267" t="str">
        <f>HYPERLINK("https://www.suredividend.com/sure-analysis-TSCO/","Tractor Supply Co.")</f>
        <v>Tractor Supply Co.</v>
      </c>
      <c r="C267" t="s">
        <v>392</v>
      </c>
      <c r="D267">
        <v>232.44</v>
      </c>
      <c r="E267">
        <v>1.7725004302185508E-2</v>
      </c>
      <c r="F267">
        <v>0.11956521739130439</v>
      </c>
      <c r="G267">
        <v>0.27143776270299957</v>
      </c>
      <c r="H267">
        <v>3.765867490617373</v>
      </c>
      <c r="I267">
        <v>25334.322964999999</v>
      </c>
      <c r="J267">
        <v>23.269995155082331</v>
      </c>
      <c r="K267">
        <v>0.38783393312228348</v>
      </c>
      <c r="M267">
        <v>238.6</v>
      </c>
      <c r="N267">
        <v>164.3</v>
      </c>
    </row>
    <row r="268" spans="1:14">
      <c r="A268" s="1" t="s">
        <v>219</v>
      </c>
      <c r="B268" t="str">
        <f>HYPERLINK("https://www.suredividend.com/sure-analysis-MCHP/","Microchip Technology, Inc.")</f>
        <v>Microchip Technology, Inc.</v>
      </c>
      <c r="C268" t="s">
        <v>386</v>
      </c>
      <c r="D268">
        <v>80.709999999999994</v>
      </c>
      <c r="E268">
        <v>1.7717754925040269E-2</v>
      </c>
      <c r="F268">
        <v>0.41501976284584963</v>
      </c>
      <c r="G268" t="s">
        <v>393</v>
      </c>
      <c r="H268">
        <v>1.255482410986571</v>
      </c>
      <c r="I268">
        <v>45247.941092000001</v>
      </c>
      <c r="J268">
        <v>21.842026014771189</v>
      </c>
      <c r="K268">
        <v>0.33931957053691109</v>
      </c>
      <c r="M268">
        <v>87.39</v>
      </c>
      <c r="N268">
        <v>53.63</v>
      </c>
    </row>
    <row r="269" spans="1:14">
      <c r="A269" s="1" t="s">
        <v>105</v>
      </c>
      <c r="B269" t="str">
        <f>HYPERLINK("https://www.suredividend.com/sure-analysis-CWT/","California Water Service Group")</f>
        <v>California Water Service Group</v>
      </c>
      <c r="C269" t="s">
        <v>389</v>
      </c>
      <c r="D269">
        <v>56.81</v>
      </c>
      <c r="E269">
        <v>1.7602534765006159E-2</v>
      </c>
      <c r="F269">
        <v>4.0000000000000042E-2</v>
      </c>
      <c r="G269">
        <v>6.756521663494941E-2</v>
      </c>
      <c r="H269">
        <v>1.0038190798384961</v>
      </c>
      <c r="I269">
        <v>3160.3554399999998</v>
      </c>
      <c r="J269">
        <v>32.916597475289286</v>
      </c>
      <c r="K269">
        <v>0.56712942363756835</v>
      </c>
      <c r="M269">
        <v>65.849999999999994</v>
      </c>
      <c r="N269">
        <v>47.86</v>
      </c>
    </row>
    <row r="270" spans="1:14">
      <c r="A270" s="1" t="s">
        <v>79</v>
      </c>
      <c r="B270" t="str">
        <f>HYPERLINK("https://www.suredividend.com/sure-analysis-research-database/","Cabot Corp.")</f>
        <v>Cabot Corp.</v>
      </c>
      <c r="C270" t="s">
        <v>390</v>
      </c>
      <c r="D270">
        <v>71.77</v>
      </c>
      <c r="E270">
        <v>1.7561685770706999E-2</v>
      </c>
      <c r="F270">
        <v>0</v>
      </c>
      <c r="G270">
        <v>2.314587308046168E-2</v>
      </c>
      <c r="H270">
        <v>1.4692106315773501</v>
      </c>
      <c r="I270">
        <v>4712.028695</v>
      </c>
      <c r="J270">
        <v>13.54031234183908</v>
      </c>
      <c r="K270">
        <v>0.24006709666296569</v>
      </c>
      <c r="M270">
        <v>83.74</v>
      </c>
      <c r="N270">
        <v>58.78</v>
      </c>
    </row>
    <row r="271" spans="1:14">
      <c r="A271" s="1" t="s">
        <v>205</v>
      </c>
      <c r="B271" t="str">
        <f>HYPERLINK("https://www.suredividend.com/sure-analysis-LII/","Lennox International Inc")</f>
        <v>Lennox International Inc</v>
      </c>
      <c r="C271" t="s">
        <v>385</v>
      </c>
      <c r="D271">
        <v>243.99</v>
      </c>
      <c r="E271">
        <v>1.737776138366327E-2</v>
      </c>
      <c r="F271">
        <v>0.1521739130434783</v>
      </c>
      <c r="G271">
        <v>0.15756966658036631</v>
      </c>
      <c r="H271">
        <v>4.0731827241695262</v>
      </c>
      <c r="I271">
        <v>9306.2633260000002</v>
      </c>
      <c r="J271">
        <v>18.72110908541541</v>
      </c>
      <c r="K271">
        <v>0.29324569648448712</v>
      </c>
      <c r="M271">
        <v>278.83999999999997</v>
      </c>
      <c r="N271">
        <v>180.3</v>
      </c>
    </row>
    <row r="272" spans="1:14">
      <c r="A272" s="1" t="s">
        <v>291</v>
      </c>
      <c r="B272" t="str">
        <f>HYPERLINK("https://www.suredividend.com/sure-analysis-ROK/","Rockwell Automation Inc")</f>
        <v>Rockwell Automation Inc</v>
      </c>
      <c r="C272" t="s">
        <v>385</v>
      </c>
      <c r="D272">
        <v>272.70999999999998</v>
      </c>
      <c r="E272">
        <v>1.7307762824978919E-2</v>
      </c>
      <c r="F272">
        <v>5.3571428571428381E-2</v>
      </c>
      <c r="G272">
        <v>5.1039011309523152E-2</v>
      </c>
      <c r="H272">
        <v>4.5559874903017112</v>
      </c>
      <c r="I272">
        <v>34732.020638000002</v>
      </c>
      <c r="J272">
        <v>32.429524404976647</v>
      </c>
      <c r="K272">
        <v>0.49467833770919772</v>
      </c>
      <c r="M272">
        <v>303.2</v>
      </c>
      <c r="N272">
        <v>186.77</v>
      </c>
    </row>
    <row r="273" spans="1:14">
      <c r="A273" s="1" t="s">
        <v>199</v>
      </c>
      <c r="B273" t="str">
        <f>HYPERLINK("https://www.suredividend.com/sure-analysis-LANC/","Lancaster Colony Corp.")</f>
        <v>Lancaster Colony Corp.</v>
      </c>
      <c r="C273" t="s">
        <v>387</v>
      </c>
      <c r="D273">
        <v>198.15</v>
      </c>
      <c r="E273">
        <v>1.7158718142821099E-2</v>
      </c>
      <c r="F273">
        <v>6.25E-2</v>
      </c>
      <c r="G273">
        <v>7.2145025900850923E-2</v>
      </c>
      <c r="H273">
        <v>3.2273654278677388</v>
      </c>
      <c r="I273">
        <v>5240.6956799999998</v>
      </c>
      <c r="J273">
        <v>51.454533387006506</v>
      </c>
      <c r="K273">
        <v>0.86990981883227458</v>
      </c>
      <c r="M273">
        <v>213.11</v>
      </c>
      <c r="N273">
        <v>115.2</v>
      </c>
    </row>
    <row r="274" spans="1:14">
      <c r="A274" s="1" t="s">
        <v>170</v>
      </c>
      <c r="B274" t="str">
        <f>HYPERLINK("https://www.suredividend.com/sure-analysis-HSY/","Hershey Company")</f>
        <v>Hershey Company</v>
      </c>
      <c r="C274" t="s">
        <v>387</v>
      </c>
      <c r="D274">
        <v>243.15</v>
      </c>
      <c r="E274">
        <v>1.7026526835286861E-2</v>
      </c>
      <c r="F274">
        <v>0.1498335183129855</v>
      </c>
      <c r="G274">
        <v>9.5698792918220699E-2</v>
      </c>
      <c r="H274">
        <v>3.9830626773139728</v>
      </c>
      <c r="I274">
        <v>48891.072</v>
      </c>
      <c r="J274">
        <v>21.294920634696751</v>
      </c>
      <c r="K274">
        <v>0.61089918363711249</v>
      </c>
      <c r="M274">
        <v>244.38</v>
      </c>
      <c r="N274">
        <v>198.71</v>
      </c>
    </row>
    <row r="275" spans="1:14">
      <c r="A275" s="1" t="s">
        <v>347</v>
      </c>
      <c r="B275" t="str">
        <f>HYPERLINK("https://www.suredividend.com/sure-analysis-TT/","Trane Technologies plc")</f>
        <v>Trane Technologies plc</v>
      </c>
      <c r="C275" t="s">
        <v>385</v>
      </c>
      <c r="D275">
        <v>177.53</v>
      </c>
      <c r="E275">
        <v>1.6898552357348051E-2</v>
      </c>
      <c r="F275">
        <v>0.11940298507462679</v>
      </c>
      <c r="G275">
        <v>0.1075663432482898</v>
      </c>
      <c r="H275">
        <v>2.7439776156955511</v>
      </c>
      <c r="I275">
        <v>44465.694869999999</v>
      </c>
      <c r="J275">
        <v>25.314941571164251</v>
      </c>
      <c r="K275">
        <v>0.36684192723202552</v>
      </c>
      <c r="M275">
        <v>194.52</v>
      </c>
      <c r="N275">
        <v>119.18</v>
      </c>
    </row>
    <row r="276" spans="1:14">
      <c r="A276" s="1" t="s">
        <v>97</v>
      </c>
      <c r="B276" t="str">
        <f>HYPERLINK("https://www.suredividend.com/sure-analysis-CPK/","Chesapeake Utilities Corp")</f>
        <v>Chesapeake Utilities Corp</v>
      </c>
      <c r="C276" t="s">
        <v>389</v>
      </c>
      <c r="D276">
        <v>128.43</v>
      </c>
      <c r="E276">
        <v>1.666277349528926E-2</v>
      </c>
      <c r="F276">
        <v>0.1145833333333335</v>
      </c>
      <c r="G276">
        <v>7.6540596042547815E-2</v>
      </c>
      <c r="H276">
        <v>2.0717604922835799</v>
      </c>
      <c r="I276">
        <v>2295.2072469999998</v>
      </c>
      <c r="J276">
        <v>25.560239283041561</v>
      </c>
      <c r="K276">
        <v>0.41106358973880552</v>
      </c>
      <c r="M276">
        <v>140.55000000000001</v>
      </c>
      <c r="N276">
        <v>105.32</v>
      </c>
    </row>
    <row r="277" spans="1:14">
      <c r="A277" s="1" t="s">
        <v>295</v>
      </c>
      <c r="B277" t="str">
        <f>HYPERLINK("https://www.suredividend.com/sure-analysis-RS/","Reliance Steel &amp; Aluminum Co.")</f>
        <v>Reliance Steel &amp; Aluminum Co.</v>
      </c>
      <c r="C277" t="s">
        <v>390</v>
      </c>
      <c r="D277">
        <v>240.48</v>
      </c>
      <c r="E277">
        <v>1.66333998669328E-2</v>
      </c>
      <c r="F277">
        <v>0.14285714285714279</v>
      </c>
      <c r="G277">
        <v>0.1486983549970351</v>
      </c>
      <c r="H277">
        <v>3.4767813739214288</v>
      </c>
      <c r="I277">
        <v>16798.506498999999</v>
      </c>
      <c r="J277">
        <v>9.1291269489484286</v>
      </c>
      <c r="K277">
        <v>0.1162025860267857</v>
      </c>
      <c r="M277">
        <v>264.42</v>
      </c>
      <c r="N277">
        <v>158.88</v>
      </c>
    </row>
    <row r="278" spans="1:14">
      <c r="A278" s="1" t="s">
        <v>301</v>
      </c>
      <c r="B278" t="str">
        <f>HYPERLINK("https://www.suredividend.com/sure-analysis-SCI/","Service Corp. International")</f>
        <v>Service Corp. International</v>
      </c>
      <c r="C278" t="s">
        <v>392</v>
      </c>
      <c r="D278">
        <v>65.16</v>
      </c>
      <c r="E278">
        <v>1.6574585635359119E-2</v>
      </c>
      <c r="F278">
        <v>8.0000000000000071E-2</v>
      </c>
      <c r="G278">
        <v>9.6940240464664651E-2</v>
      </c>
      <c r="H278">
        <v>1.0141439099137881</v>
      </c>
      <c r="I278">
        <v>10346.09719</v>
      </c>
      <c r="J278">
        <v>18.300728396109939</v>
      </c>
      <c r="K278">
        <v>0.28729289232685212</v>
      </c>
      <c r="M278">
        <v>74.66</v>
      </c>
      <c r="N278">
        <v>56.63</v>
      </c>
    </row>
    <row r="279" spans="1:14">
      <c r="A279" s="1" t="s">
        <v>280</v>
      </c>
      <c r="B279" t="str">
        <f>HYPERLINK("https://www.suredividend.com/sure-analysis-PRI/","Primerica Inc")</f>
        <v>Primerica Inc</v>
      </c>
      <c r="C279" t="s">
        <v>388</v>
      </c>
      <c r="D279">
        <v>158.11000000000001</v>
      </c>
      <c r="E279">
        <v>1.6444247675668839E-2</v>
      </c>
      <c r="F279">
        <v>0.18181818181818171</v>
      </c>
      <c r="G279">
        <v>0.2105832751075947</v>
      </c>
      <c r="H279">
        <v>2.2873056396851328</v>
      </c>
      <c r="I279">
        <v>6944.2355939999998</v>
      </c>
      <c r="J279">
        <v>18.701082584669081</v>
      </c>
      <c r="K279">
        <v>0.23483630797588639</v>
      </c>
      <c r="M279">
        <v>195.69</v>
      </c>
      <c r="N279">
        <v>108.94</v>
      </c>
    </row>
    <row r="280" spans="1:14">
      <c r="A280" s="1" t="s">
        <v>237</v>
      </c>
      <c r="B280" t="str">
        <f>HYPERLINK("https://www.suredividend.com/sure-analysis-MSEX/","Middlesex Water Co.")</f>
        <v>Middlesex Water Co.</v>
      </c>
      <c r="C280" t="s">
        <v>389</v>
      </c>
      <c r="D280">
        <v>76.209999999999994</v>
      </c>
      <c r="E280">
        <v>1.6402046975462541E-2</v>
      </c>
      <c r="F280">
        <v>7.7586206896551824E-2</v>
      </c>
      <c r="G280">
        <v>6.9097700760711867E-2</v>
      </c>
      <c r="H280">
        <v>1.198800476343846</v>
      </c>
      <c r="I280">
        <v>1339.5682220000001</v>
      </c>
      <c r="J280">
        <v>31.661542974544432</v>
      </c>
      <c r="K280">
        <v>0.5015901574660443</v>
      </c>
      <c r="M280">
        <v>108.03</v>
      </c>
      <c r="N280">
        <v>73.67</v>
      </c>
    </row>
    <row r="281" spans="1:14">
      <c r="A281" s="1" t="s">
        <v>372</v>
      </c>
      <c r="B281" t="str">
        <f>HYPERLINK("https://www.suredividend.com/sure-analysis-WMT/","Walmart Inc")</f>
        <v>Walmart Inc</v>
      </c>
      <c r="C281" t="s">
        <v>387</v>
      </c>
      <c r="D281">
        <v>139.4</v>
      </c>
      <c r="E281">
        <v>1.63558106169297E-2</v>
      </c>
      <c r="F281">
        <v>1.785714285714279E-2</v>
      </c>
      <c r="G281">
        <v>1.8531118874858029E-2</v>
      </c>
      <c r="H281">
        <v>2.226840039871083</v>
      </c>
      <c r="I281">
        <v>372428.08745699999</v>
      </c>
      <c r="J281">
        <v>41.533186958559163</v>
      </c>
      <c r="K281">
        <v>0.68307976683162064</v>
      </c>
      <c r="M281">
        <v>159.88</v>
      </c>
      <c r="N281">
        <v>116.32</v>
      </c>
    </row>
    <row r="282" spans="1:14">
      <c r="A282" s="1" t="s">
        <v>338</v>
      </c>
      <c r="B282" t="str">
        <f>HYPERLINK("https://www.suredividend.com/sure-analysis-TNC/","Tennant Co.")</f>
        <v>Tennant Co.</v>
      </c>
      <c r="C282" t="s">
        <v>385</v>
      </c>
      <c r="D282">
        <v>64.87</v>
      </c>
      <c r="E282">
        <v>1.6340373053799911E-2</v>
      </c>
      <c r="F282">
        <v>6.0000000000000053E-2</v>
      </c>
      <c r="G282">
        <v>4.762370263962179E-2</v>
      </c>
      <c r="H282">
        <v>1.0240625179927489</v>
      </c>
      <c r="I282">
        <v>1338.1689919999999</v>
      </c>
      <c r="J282">
        <v>20.183544376470589</v>
      </c>
      <c r="K282">
        <v>0.28846831492753489</v>
      </c>
      <c r="M282">
        <v>83.97</v>
      </c>
      <c r="N282">
        <v>54.25</v>
      </c>
    </row>
    <row r="283" spans="1:14">
      <c r="A283" s="1" t="s">
        <v>201</v>
      </c>
      <c r="B283" t="str">
        <f>HYPERLINK("https://www.suredividend.com/sure-analysis-LECO/","Lincoln Electric Holdings, Inc.")</f>
        <v>Lincoln Electric Holdings, Inc.</v>
      </c>
      <c r="C283" t="s">
        <v>385</v>
      </c>
      <c r="D283">
        <v>160.59</v>
      </c>
      <c r="E283">
        <v>1.5941216763185748E-2</v>
      </c>
      <c r="F283" t="s">
        <v>393</v>
      </c>
      <c r="G283" t="s">
        <v>393</v>
      </c>
      <c r="H283">
        <v>2.3050944272444029</v>
      </c>
      <c r="I283">
        <v>9986.9428179999995</v>
      </c>
      <c r="J283">
        <v>21.148740466219419</v>
      </c>
      <c r="K283">
        <v>0.28670328697069691</v>
      </c>
      <c r="M283">
        <v>176.52</v>
      </c>
      <c r="N283">
        <v>117.12</v>
      </c>
    </row>
    <row r="284" spans="1:14">
      <c r="A284" s="1" t="s">
        <v>77</v>
      </c>
      <c r="B284" t="str">
        <f>HYPERLINK("https://www.suredividend.com/sure-analysis-CBOE/","Cboe Global Markets Inc.")</f>
        <v>Cboe Global Markets Inc.</v>
      </c>
      <c r="C284" t="s">
        <v>388</v>
      </c>
      <c r="D284">
        <v>125.55</v>
      </c>
      <c r="E284">
        <v>1.5929908403026681E-2</v>
      </c>
      <c r="F284">
        <v>4.1666666666666741E-2</v>
      </c>
      <c r="G284">
        <v>0.1311527300905295</v>
      </c>
      <c r="H284">
        <v>1.9683999601178279</v>
      </c>
      <c r="I284">
        <v>13366.925605</v>
      </c>
      <c r="J284">
        <v>57.099212325843659</v>
      </c>
      <c r="K284">
        <v>0.89881276717709047</v>
      </c>
      <c r="M284">
        <v>131.5</v>
      </c>
      <c r="N284">
        <v>102.13</v>
      </c>
    </row>
    <row r="285" spans="1:14">
      <c r="A285" s="1" t="s">
        <v>248</v>
      </c>
      <c r="B285" t="str">
        <f>HYPERLINK("https://www.suredividend.com/sure-analysis-NOC/","Northrop Grumman Corp.")</f>
        <v>Northrop Grumman Corp.</v>
      </c>
      <c r="C285" t="s">
        <v>385</v>
      </c>
      <c r="D285">
        <v>443.6</v>
      </c>
      <c r="E285">
        <v>1.5599639314697929E-2</v>
      </c>
      <c r="F285">
        <v>0.1019108280254777</v>
      </c>
      <c r="G285">
        <v>7.590263566280786E-2</v>
      </c>
      <c r="H285">
        <v>6.8951169026606882</v>
      </c>
      <c r="I285">
        <v>71534.084537999996</v>
      </c>
      <c r="J285">
        <v>14.610719881123369</v>
      </c>
      <c r="K285">
        <v>0.21910126795871271</v>
      </c>
      <c r="M285">
        <v>554.25</v>
      </c>
      <c r="N285">
        <v>411.74</v>
      </c>
    </row>
    <row r="286" spans="1:14">
      <c r="A286" s="1" t="s">
        <v>303</v>
      </c>
      <c r="B286" t="str">
        <f>HYPERLINK("https://www.suredividend.com/sure-analysis-SEIC/","SEI Investments Co.")</f>
        <v>SEI Investments Co.</v>
      </c>
      <c r="C286" t="s">
        <v>388</v>
      </c>
      <c r="D286">
        <v>55.14</v>
      </c>
      <c r="E286">
        <v>1.5596663039535731E-2</v>
      </c>
      <c r="F286" t="s">
        <v>393</v>
      </c>
      <c r="G286" t="s">
        <v>393</v>
      </c>
      <c r="H286">
        <v>0.82708166427884511</v>
      </c>
      <c r="I286">
        <v>8132.3727820000004</v>
      </c>
      <c r="J286">
        <v>17.103968901437959</v>
      </c>
      <c r="K286">
        <v>0.23904094343319221</v>
      </c>
      <c r="M286">
        <v>64.69</v>
      </c>
      <c r="N286">
        <v>45.96</v>
      </c>
    </row>
    <row r="287" spans="1:14">
      <c r="A287" s="1" t="s">
        <v>59</v>
      </c>
      <c r="B287" t="str">
        <f>HYPERLINK("https://www.suredividend.com/sure-analysis-BDX/","Becton, Dickinson And Co.")</f>
        <v>Becton, Dickinson And Co.</v>
      </c>
      <c r="C287" t="s">
        <v>384</v>
      </c>
      <c r="D287">
        <v>235.58</v>
      </c>
      <c r="E287">
        <v>1.545122675948722E-2</v>
      </c>
      <c r="F287">
        <v>4.5977011494252817E-2</v>
      </c>
      <c r="G287">
        <v>3.9431863299439478E-2</v>
      </c>
      <c r="H287">
        <v>3.48091099720736</v>
      </c>
      <c r="I287">
        <v>67347.147515000004</v>
      </c>
      <c r="J287">
        <v>44.249111376636002</v>
      </c>
      <c r="K287">
        <v>0.65677565985044528</v>
      </c>
      <c r="M287">
        <v>274.41000000000003</v>
      </c>
      <c r="N287">
        <v>215.1</v>
      </c>
    </row>
    <row r="288" spans="1:14">
      <c r="A288" s="1" t="s">
        <v>302</v>
      </c>
      <c r="B288" t="str">
        <f>HYPERLINK("https://www.suredividend.com/sure-analysis-SCL/","Stepan Co.")</f>
        <v>Stepan Co.</v>
      </c>
      <c r="C288" t="s">
        <v>390</v>
      </c>
      <c r="D288">
        <v>94.98</v>
      </c>
      <c r="E288">
        <v>1.537165719098758E-2</v>
      </c>
      <c r="F288">
        <v>8.9552238805969964E-2</v>
      </c>
      <c r="G288">
        <v>0.10159528719266731</v>
      </c>
      <c r="H288">
        <v>1.3905535138641389</v>
      </c>
      <c r="I288">
        <v>2355.5340110000002</v>
      </c>
      <c r="J288">
        <v>16.007380146514169</v>
      </c>
      <c r="K288">
        <v>0.2179550962169497</v>
      </c>
      <c r="M288">
        <v>115.12</v>
      </c>
      <c r="N288">
        <v>91.01</v>
      </c>
    </row>
    <row r="289" spans="1:14">
      <c r="A289" s="1" t="s">
        <v>100</v>
      </c>
      <c r="B289" t="str">
        <f>HYPERLINK("https://www.suredividend.com/sure-analysis-CSX/","CSX Corp.")</f>
        <v>CSX Corp.</v>
      </c>
      <c r="C289" t="s">
        <v>385</v>
      </c>
      <c r="D289">
        <v>28.91</v>
      </c>
      <c r="E289">
        <v>1.521964718090626E-2</v>
      </c>
      <c r="F289">
        <v>9.9999999999999867E-2</v>
      </c>
      <c r="G289" t="s">
        <v>393</v>
      </c>
      <c r="H289">
        <v>0.40799462478944598</v>
      </c>
      <c r="I289">
        <v>64250.159269000003</v>
      </c>
      <c r="J289">
        <v>15.42250582551608</v>
      </c>
      <c r="K289">
        <v>0.20922801271253641</v>
      </c>
      <c r="M289">
        <v>38.130000000000003</v>
      </c>
      <c r="N289">
        <v>25.63</v>
      </c>
    </row>
    <row r="290" spans="1:14">
      <c r="A290" s="1" t="s">
        <v>229</v>
      </c>
      <c r="B290" t="str">
        <f>HYPERLINK("https://www.suredividend.com/sure-analysis-MMC/","Marsh &amp; McLennan Cos., Inc.")</f>
        <v>Marsh &amp; McLennan Cos., Inc.</v>
      </c>
      <c r="C290" t="s">
        <v>388</v>
      </c>
      <c r="D290">
        <v>155.80000000000001</v>
      </c>
      <c r="E290">
        <v>1.5147625160462129E-2</v>
      </c>
      <c r="F290">
        <v>0.1028037383177569</v>
      </c>
      <c r="G290">
        <v>9.4874015362663711E-2</v>
      </c>
      <c r="H290">
        <v>2.2930017035405439</v>
      </c>
      <c r="I290">
        <v>80946.509384999998</v>
      </c>
      <c r="J290">
        <v>26.53983914267868</v>
      </c>
      <c r="K290">
        <v>0.37963604363254039</v>
      </c>
      <c r="M290">
        <v>181.15</v>
      </c>
      <c r="N290">
        <v>141.77000000000001</v>
      </c>
    </row>
    <row r="291" spans="1:14">
      <c r="A291" s="1" t="s">
        <v>296</v>
      </c>
      <c r="B291" t="str">
        <f>HYPERLINK("https://www.suredividend.com/sure-analysis-RSG/","Republic Services, Inc.")</f>
        <v>Republic Services, Inc.</v>
      </c>
      <c r="C291" t="s">
        <v>385</v>
      </c>
      <c r="D291">
        <v>130.72999999999999</v>
      </c>
      <c r="E291">
        <v>1.5145720186644229E-2</v>
      </c>
      <c r="F291">
        <v>7.6086956521739024E-2</v>
      </c>
      <c r="G291">
        <v>7.4873165575328748E-2</v>
      </c>
      <c r="H291">
        <v>1.899729413031072</v>
      </c>
      <c r="I291">
        <v>40750.047126999998</v>
      </c>
      <c r="J291">
        <v>27.393148109048131</v>
      </c>
      <c r="K291">
        <v>0.40505957633924777</v>
      </c>
      <c r="M291">
        <v>148.07</v>
      </c>
      <c r="N291">
        <v>118.42</v>
      </c>
    </row>
    <row r="292" spans="1:14">
      <c r="A292" s="1" t="s">
        <v>111</v>
      </c>
      <c r="B292" t="str">
        <f>HYPERLINK("https://www.suredividend.com/sure-analysis-DOV/","Dover Corp.")</f>
        <v>Dover Corp.</v>
      </c>
      <c r="C292" t="s">
        <v>385</v>
      </c>
      <c r="D292">
        <v>136.57</v>
      </c>
      <c r="E292">
        <v>1.4790949696126531E-2</v>
      </c>
      <c r="F292">
        <v>1.0000000000000011E-2</v>
      </c>
      <c r="G292">
        <v>1.446882147577422E-2</v>
      </c>
      <c r="H292">
        <v>2.0042635229864958</v>
      </c>
      <c r="I292">
        <v>21606.646379999998</v>
      </c>
      <c r="J292">
        <v>20.28077071381372</v>
      </c>
      <c r="K292">
        <v>0.27011637776098318</v>
      </c>
      <c r="M292">
        <v>160.49</v>
      </c>
      <c r="N292">
        <v>113.69</v>
      </c>
    </row>
    <row r="293" spans="1:14">
      <c r="A293" s="1" t="s">
        <v>106</v>
      </c>
      <c r="B293" t="str">
        <f>HYPERLINK("https://www.suredividend.com/sure-analysis-DCI/","Donaldson Co. Inc.")</f>
        <v>Donaldson Co. Inc.</v>
      </c>
      <c r="C293" t="s">
        <v>385</v>
      </c>
      <c r="D293">
        <v>62.22</v>
      </c>
      <c r="E293">
        <v>1.478624236579878E-2</v>
      </c>
      <c r="F293">
        <v>4.5454545454545407E-2</v>
      </c>
      <c r="G293">
        <v>3.8950477489882777E-2</v>
      </c>
      <c r="H293">
        <v>0.91483222617516002</v>
      </c>
      <c r="I293">
        <v>8139.6380790000003</v>
      </c>
      <c r="J293">
        <v>23.737643857684461</v>
      </c>
      <c r="K293">
        <v>0.33266626406369448</v>
      </c>
      <c r="M293">
        <v>66.959999999999994</v>
      </c>
      <c r="N293">
        <v>45.47</v>
      </c>
    </row>
    <row r="294" spans="1:14">
      <c r="A294" s="1" t="s">
        <v>182</v>
      </c>
      <c r="B294" t="str">
        <f>HYPERLINK("https://www.suredividend.com/sure-analysis-ITT/","ITT Inc")</f>
        <v>ITT Inc</v>
      </c>
      <c r="C294" t="s">
        <v>385</v>
      </c>
      <c r="D294">
        <v>79.209999999999994</v>
      </c>
      <c r="E294">
        <v>1.464461557884106E-2</v>
      </c>
      <c r="F294">
        <v>9.8484848484848397E-2</v>
      </c>
      <c r="G294">
        <v>0.16696717427052829</v>
      </c>
      <c r="H294">
        <v>1.050529494189955</v>
      </c>
      <c r="I294">
        <v>7759.741</v>
      </c>
      <c r="J294">
        <v>21.14370844686648</v>
      </c>
      <c r="K294">
        <v>0.2398469164817249</v>
      </c>
      <c r="M294">
        <v>95.18</v>
      </c>
      <c r="N294">
        <v>63.33</v>
      </c>
    </row>
    <row r="295" spans="1:14">
      <c r="A295" s="1" t="s">
        <v>173</v>
      </c>
      <c r="B295" t="str">
        <f>HYPERLINK("https://www.suredividend.com/sure-analysis-HWKN/","Hawkins Inc")</f>
        <v>Hawkins Inc</v>
      </c>
      <c r="C295" t="s">
        <v>390</v>
      </c>
      <c r="D295">
        <v>41.64</v>
      </c>
      <c r="E295">
        <v>1.4409221902017291E-2</v>
      </c>
      <c r="F295">
        <v>7.1428571428571397E-2</v>
      </c>
      <c r="G295" t="s">
        <v>393</v>
      </c>
      <c r="H295">
        <v>0.56711407279910009</v>
      </c>
      <c r="I295">
        <v>887.353476</v>
      </c>
      <c r="J295">
        <v>15.03861495720702</v>
      </c>
      <c r="K295">
        <v>0.20181995473277581</v>
      </c>
      <c r="M295">
        <v>47.45</v>
      </c>
      <c r="N295">
        <v>32.94</v>
      </c>
    </row>
    <row r="296" spans="1:14">
      <c r="A296" s="1" t="s">
        <v>46</v>
      </c>
      <c r="B296" t="str">
        <f>HYPERLINK("https://www.suredividend.com/sure-analysis-ATR/","Aptargroup Inc.")</f>
        <v>Aptargroup Inc.</v>
      </c>
      <c r="C296" t="s">
        <v>392</v>
      </c>
      <c r="D296">
        <v>110.76</v>
      </c>
      <c r="E296">
        <v>1.4265077645359329E-2</v>
      </c>
      <c r="F296">
        <v>0</v>
      </c>
      <c r="G296">
        <v>3.4967527040806967E-2</v>
      </c>
      <c r="H296">
        <v>1.5119338045074029</v>
      </c>
      <c r="I296">
        <v>7864.400866</v>
      </c>
      <c r="J296">
        <v>32.865838929449033</v>
      </c>
      <c r="K296">
        <v>0.42115147757866378</v>
      </c>
      <c r="M296">
        <v>121.28</v>
      </c>
      <c r="N296">
        <v>89.58</v>
      </c>
    </row>
    <row r="297" spans="1:14">
      <c r="A297" s="1" t="s">
        <v>236</v>
      </c>
      <c r="B297" t="str">
        <f>HYPERLINK("https://www.suredividend.com/sure-analysis-MSA/","MSA Safety Inc")</f>
        <v>MSA Safety Inc</v>
      </c>
      <c r="C297" t="s">
        <v>385</v>
      </c>
      <c r="D297">
        <v>129.16999999999999</v>
      </c>
      <c r="E297">
        <v>1.4244793682743669E-2</v>
      </c>
      <c r="F297">
        <v>4.5454545454545407E-2</v>
      </c>
      <c r="G297">
        <v>3.8950477489882777E-2</v>
      </c>
      <c r="H297">
        <v>1.8307141522748609</v>
      </c>
      <c r="I297">
        <v>5330.6478459999998</v>
      </c>
      <c r="J297">
        <v>29.687444492339569</v>
      </c>
      <c r="K297">
        <v>0.40147240181466248</v>
      </c>
      <c r="M297">
        <v>145.84</v>
      </c>
      <c r="N297">
        <v>108.02</v>
      </c>
    </row>
    <row r="298" spans="1:14">
      <c r="A298" s="1" t="s">
        <v>186</v>
      </c>
      <c r="B298" t="str">
        <f>HYPERLINK("https://www.suredividend.com/sure-analysis-JKHY/","Jack Henry &amp; Associates, Inc.")</f>
        <v>Jack Henry &amp; Associates, Inc.</v>
      </c>
      <c r="C298" t="s">
        <v>386</v>
      </c>
      <c r="D298">
        <v>146.46</v>
      </c>
      <c r="E298">
        <v>1.42018298511539E-2</v>
      </c>
      <c r="F298">
        <v>6.1224489795918442E-2</v>
      </c>
      <c r="G298">
        <v>7.0435057025694414E-2</v>
      </c>
      <c r="H298">
        <v>1.952392519049744</v>
      </c>
      <c r="I298">
        <v>12120.840125999999</v>
      </c>
      <c r="J298">
        <v>34.389654667873437</v>
      </c>
      <c r="K298">
        <v>0.40506068859953198</v>
      </c>
      <c r="M298">
        <v>211.53</v>
      </c>
      <c r="N298">
        <v>162.06</v>
      </c>
    </row>
    <row r="299" spans="1:14">
      <c r="A299" s="1" t="s">
        <v>47</v>
      </c>
      <c r="B299" t="str">
        <f>HYPERLINK("https://www.suredividend.com/sure-analysis-ATRI/","Atrion Corp.")</f>
        <v>Atrion Corp.</v>
      </c>
      <c r="C299" t="s">
        <v>384</v>
      </c>
      <c r="D299">
        <v>607</v>
      </c>
      <c r="E299">
        <v>1.416803953871499E-2</v>
      </c>
      <c r="F299">
        <v>0.10256410256410239</v>
      </c>
      <c r="G299">
        <v>0.1237027476042598</v>
      </c>
      <c r="H299">
        <v>8.1575227002279362</v>
      </c>
      <c r="I299">
        <v>1106.578094</v>
      </c>
      <c r="J299">
        <v>31.609292001256861</v>
      </c>
      <c r="K299">
        <v>0.41705126279283927</v>
      </c>
      <c r="M299">
        <v>775.63</v>
      </c>
      <c r="N299">
        <v>534.99</v>
      </c>
    </row>
    <row r="300" spans="1:14">
      <c r="A300" s="1" t="s">
        <v>251</v>
      </c>
      <c r="B300" t="str">
        <f>HYPERLINK("https://www.suredividend.com/sure-analysis-NUE/","Nucor Corp.")</f>
        <v>Nucor Corp.</v>
      </c>
      <c r="C300" t="s">
        <v>390</v>
      </c>
      <c r="D300">
        <v>144.12</v>
      </c>
      <c r="E300">
        <v>1.4154870940882599E-2</v>
      </c>
      <c r="F300">
        <v>2.0000000000000021E-2</v>
      </c>
      <c r="G300">
        <v>6.0613903367872979E-2</v>
      </c>
      <c r="H300">
        <v>1.997344488312796</v>
      </c>
      <c r="I300">
        <v>44936.623712000001</v>
      </c>
      <c r="J300">
        <v>5.9313153437827717</v>
      </c>
      <c r="K300">
        <v>6.9376328180368041E-2</v>
      </c>
      <c r="M300">
        <v>185.45</v>
      </c>
      <c r="N300">
        <v>99.28</v>
      </c>
    </row>
    <row r="301" spans="1:14">
      <c r="A301" s="1" t="s">
        <v>355</v>
      </c>
      <c r="B301" t="str">
        <f>HYPERLINK("https://www.suredividend.com/sure-analysis-UNH/","Unitedhealth Group Inc")</f>
        <v>Unitedhealth Group Inc</v>
      </c>
      <c r="C301" t="s">
        <v>384</v>
      </c>
      <c r="D301">
        <v>469.5</v>
      </c>
      <c r="E301">
        <v>1.405750798722045E-2</v>
      </c>
      <c r="F301">
        <v>0.1379310344827587</v>
      </c>
      <c r="G301">
        <v>0.12888132073019751</v>
      </c>
      <c r="H301">
        <v>6.3706153052712189</v>
      </c>
      <c r="I301">
        <v>446423.06985299999</v>
      </c>
      <c r="J301">
        <v>22.18802534061232</v>
      </c>
      <c r="K301">
        <v>0.30078448089099241</v>
      </c>
      <c r="M301">
        <v>556.38</v>
      </c>
      <c r="N301">
        <v>446.92</v>
      </c>
    </row>
    <row r="302" spans="1:14">
      <c r="A302" s="1" t="s">
        <v>148</v>
      </c>
      <c r="B302" t="str">
        <f>HYPERLINK("https://www.suredividend.com/sure-analysis-GGG/","Graco Inc.")</f>
        <v>Graco Inc.</v>
      </c>
      <c r="C302" t="s">
        <v>385</v>
      </c>
      <c r="D302">
        <v>67.25</v>
      </c>
      <c r="E302">
        <v>1.397769516728624E-2</v>
      </c>
      <c r="F302">
        <v>0.1190476190476191</v>
      </c>
      <c r="G302">
        <v>0.1214254213452666</v>
      </c>
      <c r="H302">
        <v>0.86279433681471807</v>
      </c>
      <c r="I302">
        <v>11925.558169</v>
      </c>
      <c r="J302">
        <v>25.888825818406801</v>
      </c>
      <c r="K302">
        <v>0.32435877323861578</v>
      </c>
      <c r="M302">
        <v>72.87</v>
      </c>
      <c r="N302">
        <v>56.08</v>
      </c>
    </row>
    <row r="303" spans="1:14">
      <c r="A303" s="1" t="s">
        <v>382</v>
      </c>
      <c r="B303" t="str">
        <f>HYPERLINK("https://www.suredividend.com/sure-analysis-XYL/","Xylem Inc")</f>
        <v>Xylem Inc</v>
      </c>
      <c r="C303" t="s">
        <v>385</v>
      </c>
      <c r="D303">
        <v>94.73</v>
      </c>
      <c r="E303">
        <v>1.3934339702311831E-2</v>
      </c>
      <c r="F303">
        <v>9.9999999999999867E-2</v>
      </c>
      <c r="G303">
        <v>9.4608784223157549E-2</v>
      </c>
      <c r="H303">
        <v>1.2274192547753431</v>
      </c>
      <c r="I303">
        <v>18734.528834000001</v>
      </c>
      <c r="J303">
        <v>52.773320658929578</v>
      </c>
      <c r="K303">
        <v>0.62623431366088933</v>
      </c>
      <c r="M303">
        <v>118.58</v>
      </c>
      <c r="N303">
        <v>71.650000000000006</v>
      </c>
    </row>
    <row r="304" spans="1:14">
      <c r="A304" s="1" t="s">
        <v>99</v>
      </c>
      <c r="B304" t="str">
        <f>HYPERLINK("https://www.suredividend.com/sure-analysis-CSL/","Carlisle Companies Inc.")</f>
        <v>Carlisle Companies Inc.</v>
      </c>
      <c r="C304" t="s">
        <v>385</v>
      </c>
      <c r="D304">
        <v>218.21</v>
      </c>
      <c r="E304">
        <v>1.3748224187709089E-2</v>
      </c>
      <c r="F304">
        <v>0.38888888888888878</v>
      </c>
      <c r="G304">
        <v>0.15178629837003491</v>
      </c>
      <c r="H304">
        <v>2.778872311081122</v>
      </c>
      <c r="I304">
        <v>13576.842710000001</v>
      </c>
      <c r="J304">
        <v>14.693552716363641</v>
      </c>
      <c r="K304">
        <v>0.1578904722205183</v>
      </c>
      <c r="M304">
        <v>316.06</v>
      </c>
      <c r="N304">
        <v>215.63</v>
      </c>
    </row>
    <row r="305" spans="1:14">
      <c r="A305" s="1" t="s">
        <v>114</v>
      </c>
      <c r="B305" t="str">
        <f>HYPERLINK("https://www.suredividend.com/sure-analysis-ECL/","Ecolab, Inc.")</f>
        <v>Ecolab, Inc.</v>
      </c>
      <c r="C305" t="s">
        <v>390</v>
      </c>
      <c r="D305">
        <v>154.58000000000001</v>
      </c>
      <c r="E305">
        <v>1.3714581446500189E-2</v>
      </c>
      <c r="F305">
        <v>3.9215686274509887E-2</v>
      </c>
      <c r="G305">
        <v>5.2684922385274557E-2</v>
      </c>
      <c r="H305">
        <v>2.0493091228482321</v>
      </c>
      <c r="I305">
        <v>46481.105016000001</v>
      </c>
      <c r="J305">
        <v>42.576811409544753</v>
      </c>
      <c r="K305">
        <v>0.53787641019638632</v>
      </c>
      <c r="M305">
        <v>183.57</v>
      </c>
      <c r="N305">
        <v>130.56</v>
      </c>
    </row>
    <row r="306" spans="1:14">
      <c r="A306" s="1" t="s">
        <v>370</v>
      </c>
      <c r="B306" t="str">
        <f>HYPERLINK("https://www.suredividend.com/sure-analysis-WLK/","Westlake Corporation")</f>
        <v>Westlake Corporation</v>
      </c>
      <c r="C306" t="s">
        <v>390</v>
      </c>
      <c r="D306">
        <v>104.53</v>
      </c>
      <c r="E306">
        <v>1.368028317229503E-2</v>
      </c>
      <c r="F306">
        <v>0.2</v>
      </c>
      <c r="G306">
        <v>0.1119615859385787</v>
      </c>
      <c r="H306">
        <v>1.362350974738114</v>
      </c>
      <c r="I306">
        <v>15865.555469000001</v>
      </c>
      <c r="J306">
        <v>7.0986825366756152</v>
      </c>
      <c r="K306">
        <v>7.8521670013724135E-2</v>
      </c>
      <c r="M306">
        <v>139.52000000000001</v>
      </c>
      <c r="N306">
        <v>80.77</v>
      </c>
    </row>
    <row r="307" spans="1:14">
      <c r="A307" s="1" t="s">
        <v>192</v>
      </c>
      <c r="B307" t="str">
        <f>HYPERLINK("https://www.suredividend.com/sure-analysis-KLAC/","KLA Corp.")</f>
        <v>KLA Corp.</v>
      </c>
      <c r="C307" t="s">
        <v>386</v>
      </c>
      <c r="D307">
        <v>387.75</v>
      </c>
      <c r="E307">
        <v>1.34107027724049E-2</v>
      </c>
      <c r="F307">
        <v>0.23809523809523811</v>
      </c>
      <c r="G307">
        <v>0.1162884154841741</v>
      </c>
      <c r="H307">
        <v>4.9266005637089272</v>
      </c>
      <c r="I307">
        <v>52834.184358999999</v>
      </c>
      <c r="J307">
        <v>14.9218253058746</v>
      </c>
      <c r="K307">
        <v>0.20349444707595729</v>
      </c>
      <c r="M307">
        <v>428.08</v>
      </c>
      <c r="N307">
        <v>248.54</v>
      </c>
    </row>
    <row r="308" spans="1:14">
      <c r="A308" s="1" t="s">
        <v>163</v>
      </c>
      <c r="B308" t="str">
        <f>HYPERLINK("https://www.suredividend.com/sure-analysis-HIFS/","Hingham Institution For Savings")</f>
        <v>Hingham Institution For Savings</v>
      </c>
      <c r="C308" t="s">
        <v>388</v>
      </c>
      <c r="D308">
        <v>240</v>
      </c>
      <c r="E308">
        <v>1.3125E-2</v>
      </c>
      <c r="F308">
        <v>0.1052631578947367</v>
      </c>
      <c r="G308">
        <v>0.106398021719422</v>
      </c>
      <c r="H308">
        <v>2.3918458489651009</v>
      </c>
      <c r="I308">
        <v>595.99800000000005</v>
      </c>
      <c r="J308">
        <v>0</v>
      </c>
      <c r="K308" t="s">
        <v>393</v>
      </c>
      <c r="M308">
        <v>352.36</v>
      </c>
      <c r="N308">
        <v>241.82</v>
      </c>
    </row>
    <row r="309" spans="1:14">
      <c r="A309" s="1" t="s">
        <v>44</v>
      </c>
      <c r="B309" t="str">
        <f>HYPERLINK("https://www.suredividend.com/sure-analysis-research-database/","Ashland Inc")</f>
        <v>Ashland Inc</v>
      </c>
      <c r="C309" t="s">
        <v>390</v>
      </c>
      <c r="D309">
        <v>95</v>
      </c>
      <c r="E309">
        <v>1.2862562319461E-2</v>
      </c>
      <c r="F309">
        <v>0.1166666666666665</v>
      </c>
      <c r="G309">
        <v>6.0280952775362502E-2</v>
      </c>
      <c r="H309">
        <v>1.333590461281734</v>
      </c>
      <c r="I309">
        <v>5626.8781399999998</v>
      </c>
      <c r="J309">
        <v>6.1228271383677919</v>
      </c>
      <c r="K309">
        <v>8.0191849746346008E-2</v>
      </c>
      <c r="M309">
        <v>113.98</v>
      </c>
      <c r="N309">
        <v>82.49</v>
      </c>
    </row>
    <row r="310" spans="1:14">
      <c r="A310" s="1" t="s">
        <v>348</v>
      </c>
      <c r="B310" t="str">
        <f>HYPERLINK("https://www.suredividend.com/sure-analysis-TTC/","Toro Co.")</f>
        <v>Toro Co.</v>
      </c>
      <c r="C310" t="s">
        <v>385</v>
      </c>
      <c r="D310">
        <v>106.02</v>
      </c>
      <c r="E310">
        <v>1.282776834559517E-2</v>
      </c>
      <c r="F310">
        <v>0.1333333333333333</v>
      </c>
      <c r="G310">
        <v>0.1119615859385787</v>
      </c>
      <c r="H310">
        <v>1.2352660417342409</v>
      </c>
      <c r="I310">
        <v>11915.4997</v>
      </c>
      <c r="J310">
        <v>26.87654158545773</v>
      </c>
      <c r="K310">
        <v>0.29411096231767642</v>
      </c>
      <c r="M310">
        <v>117.66</v>
      </c>
      <c r="N310">
        <v>71.400000000000006</v>
      </c>
    </row>
    <row r="311" spans="1:14">
      <c r="A311" s="1" t="s">
        <v>14</v>
      </c>
      <c r="B311" t="str">
        <f>HYPERLINK("https://www.suredividend.com/sure-analysis-ABC/","Amerisource Bergen Corp.")</f>
        <v>Amerisource Bergen Corp.</v>
      </c>
      <c r="C311" t="s">
        <v>384</v>
      </c>
      <c r="D311">
        <v>152.02000000000001</v>
      </c>
      <c r="E311">
        <v>1.276147875279568E-2</v>
      </c>
      <c r="F311">
        <v>5.4347826086956541E-2</v>
      </c>
      <c r="G311">
        <v>5.0005631662779937E-2</v>
      </c>
      <c r="H311">
        <v>1.8770825897880381</v>
      </c>
      <c r="I311">
        <v>31582.616055999999</v>
      </c>
      <c r="J311">
        <v>18.261547567564449</v>
      </c>
      <c r="K311">
        <v>0.22780128516845119</v>
      </c>
      <c r="M311">
        <v>174.09</v>
      </c>
      <c r="N311">
        <v>133.88999999999999</v>
      </c>
    </row>
    <row r="312" spans="1:14">
      <c r="A312" s="1" t="s">
        <v>84</v>
      </c>
      <c r="B312" t="str">
        <f>HYPERLINK("https://www.suredividend.com/sure-analysis-CHD/","Church &amp; Dwight Co., Inc.")</f>
        <v>Church &amp; Dwight Co., Inc.</v>
      </c>
      <c r="C312" t="s">
        <v>387</v>
      </c>
      <c r="D312">
        <v>85.46</v>
      </c>
      <c r="E312">
        <v>1.275450503159373E-2</v>
      </c>
      <c r="F312">
        <v>3.8095238095238182E-2</v>
      </c>
      <c r="G312">
        <v>4.6119864944856648E-2</v>
      </c>
      <c r="H312">
        <v>1.054800746289309</v>
      </c>
      <c r="I312">
        <v>20553.108175000001</v>
      </c>
      <c r="J312">
        <v>49.65718331746799</v>
      </c>
      <c r="K312">
        <v>0.62785758707696959</v>
      </c>
      <c r="M312">
        <v>103.97</v>
      </c>
      <c r="N312">
        <v>69.680000000000007</v>
      </c>
    </row>
    <row r="313" spans="1:14">
      <c r="A313" s="1" t="s">
        <v>240</v>
      </c>
      <c r="B313" t="str">
        <f>HYPERLINK("https://www.suredividend.com/sure-analysis-NDSN/","Nordson Corp.")</f>
        <v>Nordson Corp.</v>
      </c>
      <c r="C313" t="s">
        <v>385</v>
      </c>
      <c r="D313">
        <v>204.02</v>
      </c>
      <c r="E313">
        <v>1.274384864228997E-2</v>
      </c>
      <c r="F313">
        <v>0.27450980392156848</v>
      </c>
      <c r="G313">
        <v>0.16723531932969321</v>
      </c>
      <c r="H313">
        <v>2.4506230309210548</v>
      </c>
      <c r="I313">
        <v>12768.624368999999</v>
      </c>
      <c r="J313">
        <v>25.6937235147448</v>
      </c>
      <c r="K313">
        <v>0.2859536792206599</v>
      </c>
      <c r="M313">
        <v>250.59</v>
      </c>
      <c r="N313">
        <v>193.32</v>
      </c>
    </row>
    <row r="314" spans="1:14">
      <c r="A314" s="1" t="s">
        <v>308</v>
      </c>
      <c r="B314" t="str">
        <f>HYPERLINK("https://www.suredividend.com/sure-analysis-SLGN/","Silgan Holdings Inc.")</f>
        <v>Silgan Holdings Inc.</v>
      </c>
      <c r="C314" t="s">
        <v>392</v>
      </c>
      <c r="D314">
        <v>50.5</v>
      </c>
      <c r="E314">
        <v>1.2673267326732671E-2</v>
      </c>
      <c r="F314">
        <v>0.125</v>
      </c>
      <c r="G314">
        <v>0.1247461131420948</v>
      </c>
      <c r="H314">
        <v>0.31950963061910498</v>
      </c>
      <c r="I314">
        <v>6018.0193129999998</v>
      </c>
      <c r="J314">
        <v>17.65602060945055</v>
      </c>
      <c r="K314">
        <v>0.1040747982472655</v>
      </c>
      <c r="M314">
        <v>55.41</v>
      </c>
      <c r="N314">
        <v>38.340000000000003</v>
      </c>
    </row>
    <row r="315" spans="1:14">
      <c r="A315" s="1" t="s">
        <v>129</v>
      </c>
      <c r="B315" t="str">
        <f>HYPERLINK("https://www.suredividend.com/sure-analysis-EXPD/","Expeditors International Of Washington, Inc.")</f>
        <v>Expeditors International Of Washington, Inc.</v>
      </c>
      <c r="C315" t="s">
        <v>385</v>
      </c>
      <c r="D315">
        <v>106.43</v>
      </c>
      <c r="E315">
        <v>1.259043502771775E-2</v>
      </c>
      <c r="F315" t="s">
        <v>393</v>
      </c>
      <c r="G315" t="s">
        <v>393</v>
      </c>
      <c r="H315">
        <v>1.3360467624238239</v>
      </c>
      <c r="I315">
        <v>16891.146014000002</v>
      </c>
      <c r="J315">
        <v>12.44375899319213</v>
      </c>
      <c r="K315">
        <v>0.16174900271474871</v>
      </c>
      <c r="M315">
        <v>119.9</v>
      </c>
      <c r="N315">
        <v>85.57</v>
      </c>
    </row>
    <row r="316" spans="1:14">
      <c r="A316" s="1" t="s">
        <v>29</v>
      </c>
      <c r="B316" t="str">
        <f>HYPERLINK("https://www.suredividend.com/sure-analysis-AJG/","Arthur J. Gallagher &amp; Co.")</f>
        <v>Arthur J. Gallagher &amp; Co.</v>
      </c>
      <c r="C316" t="s">
        <v>388</v>
      </c>
      <c r="D316">
        <v>180</v>
      </c>
      <c r="E316">
        <v>1.2222222222222219E-2</v>
      </c>
      <c r="F316">
        <v>7.8431372549019773E-2</v>
      </c>
      <c r="G316">
        <v>6.0512438341298491E-2</v>
      </c>
      <c r="H316">
        <v>2.0714888588074492</v>
      </c>
      <c r="I316">
        <v>40092.128819999998</v>
      </c>
      <c r="J316">
        <v>35.98288352180937</v>
      </c>
      <c r="K316">
        <v>0.39913080131164719</v>
      </c>
      <c r="M316">
        <v>201.78</v>
      </c>
      <c r="N316">
        <v>146.82</v>
      </c>
    </row>
    <row r="317" spans="1:14">
      <c r="A317" s="1" t="s">
        <v>239</v>
      </c>
      <c r="B317" t="str">
        <f>HYPERLINK("https://www.suredividend.com/sure-analysis-research-database/","Motorola Solutions Inc")</f>
        <v>Motorola Solutions Inc</v>
      </c>
      <c r="C317" t="s">
        <v>386</v>
      </c>
      <c r="D317">
        <v>264.24</v>
      </c>
      <c r="E317">
        <v>1.2132642034881E-2</v>
      </c>
      <c r="F317">
        <v>0.11392405063291131</v>
      </c>
      <c r="G317">
        <v>0.1109534595426207</v>
      </c>
      <c r="H317">
        <v>3.2340770608181071</v>
      </c>
      <c r="I317">
        <v>44582.178926000001</v>
      </c>
      <c r="J317">
        <v>32.708862014497427</v>
      </c>
      <c r="K317">
        <v>0.40782812872863899</v>
      </c>
      <c r="M317">
        <v>274.25</v>
      </c>
      <c r="N317">
        <v>193.91</v>
      </c>
    </row>
    <row r="318" spans="1:14">
      <c r="A318" s="1" t="s">
        <v>286</v>
      </c>
      <c r="B318" t="str">
        <f>HYPERLINK("https://www.suredividend.com/sure-analysis-RGLD/","Royal Gold, Inc.")</f>
        <v>Royal Gold, Inc.</v>
      </c>
      <c r="C318" t="s">
        <v>390</v>
      </c>
      <c r="D318">
        <v>125.45</v>
      </c>
      <c r="E318">
        <v>1.195695496213631E-2</v>
      </c>
      <c r="F318">
        <v>7.1428571428571397E-2</v>
      </c>
      <c r="G318">
        <v>8.4471771197698553E-2</v>
      </c>
      <c r="H318">
        <v>1.418083372583349</v>
      </c>
      <c r="I318">
        <v>7350.8274380000003</v>
      </c>
      <c r="J318">
        <v>30.758916729293421</v>
      </c>
      <c r="K318">
        <v>0.38958334411630469</v>
      </c>
      <c r="M318">
        <v>146.24</v>
      </c>
      <c r="N318">
        <v>83.97</v>
      </c>
    </row>
    <row r="319" spans="1:14">
      <c r="A319" s="1" t="s">
        <v>144</v>
      </c>
      <c r="B319" t="str">
        <f>HYPERLINK("https://www.suredividend.com/sure-analysis-FUL/","H.B. Fuller Company")</f>
        <v>H.B. Fuller Company</v>
      </c>
      <c r="C319" t="s">
        <v>390</v>
      </c>
      <c r="D319">
        <v>64.650000000000006</v>
      </c>
      <c r="E319">
        <v>1.1755607115235879E-2</v>
      </c>
      <c r="F319" t="s">
        <v>393</v>
      </c>
      <c r="G319" t="s">
        <v>393</v>
      </c>
      <c r="H319">
        <v>0.75686291310140708</v>
      </c>
      <c r="I319">
        <v>3884.891212</v>
      </c>
      <c r="J319">
        <v>21.54526413658472</v>
      </c>
      <c r="K319">
        <v>0.2321665377611678</v>
      </c>
      <c r="M319">
        <v>81.2</v>
      </c>
      <c r="N319">
        <v>56.9</v>
      </c>
    </row>
    <row r="320" spans="1:14">
      <c r="A320" s="1" t="s">
        <v>276</v>
      </c>
      <c r="B320" t="str">
        <f>HYPERLINK("https://www.suredividend.com/sure-analysis-POOL/","Pool Corporation")</f>
        <v>Pool Corporation</v>
      </c>
      <c r="C320" t="s">
        <v>392</v>
      </c>
      <c r="D320">
        <v>341.83</v>
      </c>
      <c r="E320">
        <v>1.1701723078723339E-2</v>
      </c>
      <c r="F320">
        <v>0.25</v>
      </c>
      <c r="G320">
        <v>0.17316067631184101</v>
      </c>
      <c r="H320">
        <v>3.7840827554945018</v>
      </c>
      <c r="I320">
        <v>14137.082608000001</v>
      </c>
      <c r="J320">
        <v>18.993515623912579</v>
      </c>
      <c r="K320">
        <v>0.2023573666039841</v>
      </c>
      <c r="M320">
        <v>484.64</v>
      </c>
      <c r="N320">
        <v>277.2</v>
      </c>
    </row>
    <row r="321" spans="1:14">
      <c r="A321" s="1" t="s">
        <v>246</v>
      </c>
      <c r="B321" t="str">
        <f>HYPERLINK("https://www.suredividend.com/sure-analysis-NKE/","Nike, Inc.")</f>
        <v>Nike, Inc.</v>
      </c>
      <c r="C321" t="s">
        <v>392</v>
      </c>
      <c r="D321">
        <v>120.39</v>
      </c>
      <c r="E321">
        <v>1.129661932054157E-2</v>
      </c>
      <c r="F321">
        <v>0.11475409836065591</v>
      </c>
      <c r="G321">
        <v>0.1119615859385787</v>
      </c>
      <c r="H321">
        <v>1.284569290489993</v>
      </c>
      <c r="I321">
        <v>188666.4</v>
      </c>
      <c r="J321">
        <v>26.739583512094431</v>
      </c>
      <c r="K321">
        <v>0.36287268092937658</v>
      </c>
      <c r="M321">
        <v>138.29</v>
      </c>
      <c r="N321">
        <v>81.739999999999995</v>
      </c>
    </row>
    <row r="322" spans="1:14">
      <c r="A322" s="1" t="s">
        <v>305</v>
      </c>
      <c r="B322" t="str">
        <f>HYPERLINK("https://www.suredividend.com/sure-analysis-SHW/","Sherwin-Williams Co.")</f>
        <v>Sherwin-Williams Co.</v>
      </c>
      <c r="C322" t="s">
        <v>390</v>
      </c>
      <c r="D322">
        <v>217.32</v>
      </c>
      <c r="E322">
        <v>1.1135652494018039E-2</v>
      </c>
      <c r="F322">
        <v>8.3333333333330817E-3</v>
      </c>
      <c r="G322" t="s">
        <v>393</v>
      </c>
      <c r="H322">
        <v>2.395711905088</v>
      </c>
      <c r="I322">
        <v>56865.055088000001</v>
      </c>
      <c r="J322">
        <v>28.149623824776</v>
      </c>
      <c r="K322">
        <v>0.31032537630673579</v>
      </c>
      <c r="M322">
        <v>282.19</v>
      </c>
      <c r="N322">
        <v>194.23</v>
      </c>
    </row>
    <row r="323" spans="1:14">
      <c r="A323" s="1" t="s">
        <v>177</v>
      </c>
      <c r="B323" t="str">
        <f>HYPERLINK("https://www.suredividend.com/sure-analysis-IEX/","Idex Corporation")</f>
        <v>Idex Corporation</v>
      </c>
      <c r="C323" t="s">
        <v>385</v>
      </c>
      <c r="D323">
        <v>215.74</v>
      </c>
      <c r="E323">
        <v>1.112450171502735E-2</v>
      </c>
      <c r="F323">
        <v>0.1111111111111112</v>
      </c>
      <c r="G323">
        <v>6.8898724811552681E-2</v>
      </c>
      <c r="H323">
        <v>2.389856622659186</v>
      </c>
      <c r="I323">
        <v>17236.273968000001</v>
      </c>
      <c r="J323">
        <v>29.368331858919749</v>
      </c>
      <c r="K323">
        <v>0.30956692003357328</v>
      </c>
      <c r="M323">
        <v>245.6</v>
      </c>
      <c r="N323">
        <v>170.67</v>
      </c>
    </row>
    <row r="324" spans="1:14">
      <c r="A324" s="1" t="s">
        <v>40</v>
      </c>
      <c r="B324" t="str">
        <f>HYPERLINK("https://www.suredividend.com/sure-analysis-APH/","Amphenol Corp.")</f>
        <v>Amphenol Corp.</v>
      </c>
      <c r="C324" t="s">
        <v>386</v>
      </c>
      <c r="D324">
        <v>76.790000000000006</v>
      </c>
      <c r="E324">
        <v>1.093892433910665E-2</v>
      </c>
      <c r="F324" t="s">
        <v>393</v>
      </c>
      <c r="G324" t="s">
        <v>393</v>
      </c>
      <c r="H324">
        <v>0.80664401531462804</v>
      </c>
      <c r="I324">
        <v>47068.893327999998</v>
      </c>
      <c r="J324">
        <v>24.74314951807812</v>
      </c>
      <c r="K324">
        <v>0.2636091553315778</v>
      </c>
      <c r="M324">
        <v>82.64</v>
      </c>
      <c r="N324">
        <v>61.33</v>
      </c>
    </row>
    <row r="325" spans="1:14">
      <c r="A325" s="1" t="s">
        <v>328</v>
      </c>
      <c r="B325" t="str">
        <f>HYPERLINK("https://www.suredividend.com/sure-analysis-SYK/","Stryker Corp.")</f>
        <v>Stryker Corp.</v>
      </c>
      <c r="C325" t="s">
        <v>384</v>
      </c>
      <c r="D325">
        <v>274.44</v>
      </c>
      <c r="E325">
        <v>1.093135111499781E-2</v>
      </c>
      <c r="F325">
        <v>7.9136690647481966E-2</v>
      </c>
      <c r="G325">
        <v>9.7975579958707426E-2</v>
      </c>
      <c r="H325">
        <v>2.821423835006069</v>
      </c>
      <c r="I325">
        <v>102864.04904100001</v>
      </c>
      <c r="J325">
        <v>43.623430466908388</v>
      </c>
      <c r="K325">
        <v>0.45728101053582959</v>
      </c>
      <c r="M325">
        <v>284</v>
      </c>
      <c r="N325">
        <v>187.62</v>
      </c>
    </row>
    <row r="326" spans="1:14">
      <c r="A326" s="1" t="s">
        <v>21</v>
      </c>
      <c r="B326" t="str">
        <f>HYPERLINK("https://www.suredividend.com/sure-analysis-AEL/","American Equity Investment Life Holding Co")</f>
        <v>American Equity Investment Life Holding Co</v>
      </c>
      <c r="C326" t="s">
        <v>388</v>
      </c>
      <c r="D326">
        <v>33.119999999999997</v>
      </c>
      <c r="E326">
        <v>1.0869565217391301E-2</v>
      </c>
      <c r="F326" t="s">
        <v>393</v>
      </c>
      <c r="G326" t="s">
        <v>393</v>
      </c>
      <c r="H326">
        <v>0.36000001430511402</v>
      </c>
      <c r="I326">
        <v>3582.8193240000001</v>
      </c>
      <c r="J326">
        <v>3.043331068481375</v>
      </c>
      <c r="K326">
        <v>2.7993780272559408E-2</v>
      </c>
      <c r="M326">
        <v>48.37</v>
      </c>
      <c r="N326">
        <v>28.05</v>
      </c>
    </row>
    <row r="327" spans="1:14">
      <c r="A327" s="1" t="s">
        <v>314</v>
      </c>
      <c r="B327" t="str">
        <f>HYPERLINK("https://www.suredividend.com/sure-analysis-SPGI/","S&amp;P Global Inc")</f>
        <v>S&amp;P Global Inc</v>
      </c>
      <c r="C327" t="s">
        <v>388</v>
      </c>
      <c r="D327">
        <v>334.49</v>
      </c>
      <c r="E327">
        <v>1.076265359203564E-2</v>
      </c>
      <c r="F327">
        <v>0.1688311688311688</v>
      </c>
      <c r="G327">
        <v>0.1247461131420948</v>
      </c>
      <c r="H327">
        <v>3.44145307875664</v>
      </c>
      <c r="I327">
        <v>115241.31</v>
      </c>
      <c r="J327">
        <v>34.308663793103449</v>
      </c>
      <c r="K327">
        <v>0.33739736066241571</v>
      </c>
      <c r="M327">
        <v>420.46</v>
      </c>
      <c r="N327">
        <v>278.58999999999997</v>
      </c>
    </row>
    <row r="328" spans="1:14">
      <c r="A328" s="1" t="s">
        <v>321</v>
      </c>
      <c r="B328" t="str">
        <f>HYPERLINK("https://www.suredividend.com/sure-analysis-STE/","Steris Plc")</f>
        <v>Steris Plc</v>
      </c>
      <c r="C328" t="s">
        <v>384</v>
      </c>
      <c r="D328">
        <v>176.56</v>
      </c>
      <c r="E328">
        <v>1.0647938377888541E-2</v>
      </c>
      <c r="F328">
        <v>9.3023255813953654E-2</v>
      </c>
      <c r="G328">
        <v>8.6794001831422829E-2</v>
      </c>
      <c r="H328">
        <v>1.8339833988487051</v>
      </c>
      <c r="I328">
        <v>18859.079947999999</v>
      </c>
      <c r="J328" t="s">
        <v>393</v>
      </c>
      <c r="K328" t="s">
        <v>393</v>
      </c>
      <c r="M328">
        <v>254.07</v>
      </c>
      <c r="N328">
        <v>158.36000000000001</v>
      </c>
    </row>
    <row r="329" spans="1:14">
      <c r="A329" s="1" t="s">
        <v>101</v>
      </c>
      <c r="B329" t="str">
        <f>HYPERLINK("https://www.suredividend.com/sure-analysis-CTAS/","Cintas Corporation")</f>
        <v>Cintas Corporation</v>
      </c>
      <c r="C329" t="s">
        <v>385</v>
      </c>
      <c r="D329">
        <v>432.73</v>
      </c>
      <c r="E329">
        <v>1.063018510387539E-2</v>
      </c>
      <c r="F329" t="s">
        <v>393</v>
      </c>
      <c r="G329" t="s">
        <v>393</v>
      </c>
      <c r="H329">
        <v>4.3837004987775092</v>
      </c>
      <c r="I329">
        <v>44901.008646000002</v>
      </c>
      <c r="J329">
        <v>35.075432864200202</v>
      </c>
      <c r="K329">
        <v>0.35668840510801542</v>
      </c>
      <c r="M329">
        <v>469.02</v>
      </c>
      <c r="N329">
        <v>341.17</v>
      </c>
    </row>
    <row r="330" spans="1:14">
      <c r="A330" s="1" t="s">
        <v>27</v>
      </c>
      <c r="B330" t="str">
        <f>HYPERLINK("https://www.suredividend.com/sure-analysis-AIT/","Applied Industrial Technologies Inc.")</f>
        <v>Applied Industrial Technologies Inc.</v>
      </c>
      <c r="C330" t="s">
        <v>385</v>
      </c>
      <c r="D330">
        <v>132.22999999999999</v>
      </c>
      <c r="E330">
        <v>1.0587612493382741E-2</v>
      </c>
      <c r="F330">
        <v>2.941176470588247E-2</v>
      </c>
      <c r="G330">
        <v>3.1310306477545069E-2</v>
      </c>
      <c r="H330">
        <v>1.3647284326752549</v>
      </c>
      <c r="I330">
        <v>5571.864818</v>
      </c>
      <c r="J330">
        <v>18.283035669355151</v>
      </c>
      <c r="K330">
        <v>0.17518978596601481</v>
      </c>
      <c r="M330">
        <v>149.06</v>
      </c>
      <c r="N330">
        <v>87.39</v>
      </c>
    </row>
    <row r="331" spans="1:14">
      <c r="A331" s="1" t="s">
        <v>221</v>
      </c>
      <c r="B331" t="str">
        <f>HYPERLINK("https://www.suredividend.com/sure-analysis-MCO/","Moody`s Corp.")</f>
        <v>Moody`s Corp.</v>
      </c>
      <c r="C331" t="s">
        <v>388</v>
      </c>
      <c r="D331">
        <v>294.25</v>
      </c>
      <c r="E331">
        <v>1.0467289719626171E-2</v>
      </c>
      <c r="F331">
        <v>9.9999999999999867E-2</v>
      </c>
      <c r="G331">
        <v>0.1184269147201447</v>
      </c>
      <c r="H331">
        <v>2.8558623062934938</v>
      </c>
      <c r="I331">
        <v>54707.184000000001</v>
      </c>
      <c r="J331">
        <v>39.816000000000003</v>
      </c>
      <c r="K331">
        <v>0.38385246052331912</v>
      </c>
      <c r="M331">
        <v>341.95</v>
      </c>
      <c r="N331">
        <v>228.39</v>
      </c>
    </row>
    <row r="332" spans="1:14">
      <c r="A332" s="1" t="s">
        <v>155</v>
      </c>
      <c r="B332" t="str">
        <f>HYPERLINK("https://www.suredividend.com/sure-analysis-GWW/","W.W. Grainger Inc.")</f>
        <v>W.W. Grainger Inc.</v>
      </c>
      <c r="C332" t="s">
        <v>385</v>
      </c>
      <c r="D332">
        <v>663.5</v>
      </c>
      <c r="E332">
        <v>1.0369253956292389E-2</v>
      </c>
      <c r="F332">
        <v>0</v>
      </c>
      <c r="G332">
        <v>4.8088383994589153E-2</v>
      </c>
      <c r="H332">
        <v>6.836668533206117</v>
      </c>
      <c r="I332">
        <v>35121.919256000001</v>
      </c>
      <c r="J332">
        <v>22.703244509049771</v>
      </c>
      <c r="K332">
        <v>0.22585624490274589</v>
      </c>
      <c r="M332">
        <v>709.21</v>
      </c>
      <c r="N332">
        <v>435.43</v>
      </c>
    </row>
    <row r="333" spans="1:14">
      <c r="A333" s="1" t="s">
        <v>294</v>
      </c>
      <c r="B333" t="str">
        <f>HYPERLINK("https://www.suredividend.com/sure-analysis-RRX/","Regal Rexnord Corp")</f>
        <v>Regal Rexnord Corp</v>
      </c>
      <c r="C333" t="s">
        <v>393</v>
      </c>
      <c r="D333">
        <v>137.19</v>
      </c>
      <c r="E333">
        <v>1.020482542459363E-2</v>
      </c>
      <c r="F333" t="s">
        <v>393</v>
      </c>
      <c r="G333" t="s">
        <v>393</v>
      </c>
      <c r="H333">
        <v>1.3742733428290539</v>
      </c>
      <c r="I333">
        <v>10732.745218</v>
      </c>
      <c r="J333">
        <v>21.952843562282681</v>
      </c>
      <c r="K333">
        <v>0.18851486184211991</v>
      </c>
      <c r="M333">
        <v>162.46</v>
      </c>
      <c r="N333">
        <v>107.37</v>
      </c>
    </row>
    <row r="334" spans="1:14">
      <c r="A334" s="1" t="s">
        <v>135</v>
      </c>
      <c r="B334" t="str">
        <f>HYPERLINK("https://www.suredividend.com/sure-analysis-FELE/","Franklin Electric Co., Inc.")</f>
        <v>Franklin Electric Co., Inc.</v>
      </c>
      <c r="C334" t="s">
        <v>385</v>
      </c>
      <c r="D334">
        <v>88.37</v>
      </c>
      <c r="E334">
        <v>1.018445173701482E-2</v>
      </c>
      <c r="F334">
        <v>0.15384615384615369</v>
      </c>
      <c r="G334">
        <v>0.13396657763302719</v>
      </c>
      <c r="H334">
        <v>0.80718975652105607</v>
      </c>
      <c r="I334">
        <v>4469.3676619999997</v>
      </c>
      <c r="J334">
        <v>23.153266585679209</v>
      </c>
      <c r="K334">
        <v>0.19639653443334701</v>
      </c>
      <c r="M334">
        <v>100</v>
      </c>
      <c r="N334">
        <v>67.599999999999994</v>
      </c>
    </row>
    <row r="335" spans="1:14">
      <c r="A335" s="1" t="s">
        <v>184</v>
      </c>
      <c r="B335" t="str">
        <f>HYPERLINK("https://www.suredividend.com/sure-analysis-JBHT/","J.B. Hunt Transport Services, Inc.")</f>
        <v>J.B. Hunt Transport Services, Inc.</v>
      </c>
      <c r="C335" t="s">
        <v>385</v>
      </c>
      <c r="D335">
        <v>167.5</v>
      </c>
      <c r="E335">
        <v>1.002985074626866E-2</v>
      </c>
      <c r="F335">
        <v>4.9999999999999822E-2</v>
      </c>
      <c r="G335">
        <v>0.1184269147201447</v>
      </c>
      <c r="H335">
        <v>1.6146542417773491</v>
      </c>
      <c r="I335">
        <v>19367.701110000002</v>
      </c>
      <c r="J335">
        <v>19.980070284386152</v>
      </c>
      <c r="K335">
        <v>0.17531533569786631</v>
      </c>
      <c r="M335">
        <v>216.2</v>
      </c>
      <c r="N335">
        <v>152.88</v>
      </c>
    </row>
    <row r="336" spans="1:14">
      <c r="A336" s="1" t="s">
        <v>36</v>
      </c>
      <c r="B336" t="str">
        <f>HYPERLINK("https://www.suredividend.com/sure-analysis-ANTM/","Anthem Inc")</f>
        <v>Anthem Inc</v>
      </c>
      <c r="C336" t="s">
        <v>384</v>
      </c>
      <c r="D336">
        <v>482.58</v>
      </c>
      <c r="E336">
        <v>9.9495248287260005E-3</v>
      </c>
      <c r="F336" t="s">
        <v>393</v>
      </c>
      <c r="G336" t="s">
        <v>393</v>
      </c>
      <c r="H336">
        <v>4.801441691846593</v>
      </c>
      <c r="I336">
        <v>116342.693132</v>
      </c>
      <c r="J336">
        <v>18.632718310762328</v>
      </c>
      <c r="K336">
        <v>0.1890331374742753</v>
      </c>
      <c r="L336">
        <v>0.68818755537227405</v>
      </c>
      <c r="M336">
        <v>532.30999999999995</v>
      </c>
      <c r="N336">
        <v>352.54</v>
      </c>
    </row>
    <row r="337" spans="1:14">
      <c r="A337" s="1" t="s">
        <v>197</v>
      </c>
      <c r="B337" t="str">
        <f>HYPERLINK("https://www.suredividend.com/sure-analysis-KWR/","Quaker Houghton")</f>
        <v>Quaker Houghton</v>
      </c>
      <c r="C337" t="s">
        <v>390</v>
      </c>
      <c r="D337">
        <v>175.52</v>
      </c>
      <c r="E337">
        <v>9.9134001823154051E-3</v>
      </c>
      <c r="F337">
        <v>4.8192771084337283E-2</v>
      </c>
      <c r="G337">
        <v>4.1482988906745177E-2</v>
      </c>
      <c r="H337">
        <v>1.693253077927537</v>
      </c>
      <c r="I337">
        <v>3585.4799410000001</v>
      </c>
      <c r="J337" t="s">
        <v>393</v>
      </c>
      <c r="K337" t="s">
        <v>393</v>
      </c>
      <c r="M337">
        <v>216.45</v>
      </c>
      <c r="N337">
        <v>128.36000000000001</v>
      </c>
    </row>
    <row r="338" spans="1:14">
      <c r="A338" s="1" t="s">
        <v>210</v>
      </c>
      <c r="B338" t="str">
        <f>HYPERLINK("https://www.suredividend.com/sure-analysis-LNN/","Lindsay Corporation")</f>
        <v>Lindsay Corporation</v>
      </c>
      <c r="C338" t="s">
        <v>385</v>
      </c>
      <c r="D338">
        <v>138.02000000000001</v>
      </c>
      <c r="E338">
        <v>9.8536443993624111E-3</v>
      </c>
      <c r="F338" t="s">
        <v>393</v>
      </c>
      <c r="G338" t="s">
        <v>393</v>
      </c>
      <c r="H338">
        <v>1.345779331310518</v>
      </c>
      <c r="I338">
        <v>1519.1657130000001</v>
      </c>
      <c r="J338">
        <v>20.045730857557569</v>
      </c>
      <c r="K338">
        <v>0.1961777450889968</v>
      </c>
      <c r="M338">
        <v>182.68</v>
      </c>
      <c r="N338">
        <v>116.04</v>
      </c>
    </row>
    <row r="339" spans="1:14">
      <c r="A339" s="1" t="s">
        <v>207</v>
      </c>
      <c r="B339" t="str">
        <f>HYPERLINK("https://www.suredividend.com/sure-analysis-research-database/","Lemaitre Vascular Inc")</f>
        <v>Lemaitre Vascular Inc</v>
      </c>
      <c r="C339" t="s">
        <v>384</v>
      </c>
      <c r="D339">
        <v>49.71</v>
      </c>
      <c r="E339">
        <v>9.8229394326150004E-3</v>
      </c>
      <c r="F339">
        <v>0.12000000000000011</v>
      </c>
      <c r="G339">
        <v>0.1486983549970351</v>
      </c>
      <c r="H339">
        <v>0.49802302923358899</v>
      </c>
      <c r="I339">
        <v>1120.3333130000001</v>
      </c>
      <c r="J339">
        <v>0</v>
      </c>
      <c r="K339" t="s">
        <v>393</v>
      </c>
      <c r="M339">
        <v>56.09</v>
      </c>
      <c r="N339">
        <v>38.01</v>
      </c>
    </row>
    <row r="340" spans="1:14">
      <c r="A340" s="1" t="s">
        <v>325</v>
      </c>
      <c r="B340" t="str">
        <f>HYPERLINK("https://www.suredividend.com/sure-analysis-SXI/","Standex International Corp.")</f>
        <v>Standex International Corp.</v>
      </c>
      <c r="C340" t="s">
        <v>385</v>
      </c>
      <c r="D340">
        <v>114.22</v>
      </c>
      <c r="E340">
        <v>9.8056382419891442E-3</v>
      </c>
      <c r="F340">
        <v>7.6923076923077094E-2</v>
      </c>
      <c r="G340">
        <v>9.2388464140373161E-2</v>
      </c>
      <c r="H340">
        <v>1.0759904440470269</v>
      </c>
      <c r="I340">
        <v>1442.3649270000001</v>
      </c>
      <c r="J340">
        <v>20.932963646812961</v>
      </c>
      <c r="K340">
        <v>0.1877819274078581</v>
      </c>
      <c r="M340">
        <v>121.57</v>
      </c>
      <c r="N340">
        <v>78.400000000000006</v>
      </c>
    </row>
    <row r="341" spans="1:14">
      <c r="A341" s="1" t="s">
        <v>147</v>
      </c>
      <c r="B341" t="str">
        <f>HYPERLINK("https://www.suredividend.com/sure-analysis-research-database/","Griffon Corp.")</f>
        <v>Griffon Corp.</v>
      </c>
      <c r="C341" t="s">
        <v>385</v>
      </c>
      <c r="D341">
        <v>29.61</v>
      </c>
      <c r="E341">
        <v>9.7920349716010009E-3</v>
      </c>
      <c r="F341">
        <v>0.1111111111111112</v>
      </c>
      <c r="G341">
        <v>7.3940923785779322E-2</v>
      </c>
      <c r="H341">
        <v>0.37219524927057801</v>
      </c>
      <c r="I341">
        <v>2173.6482980000001</v>
      </c>
      <c r="J341" t="s">
        <v>393</v>
      </c>
      <c r="K341" t="s">
        <v>393</v>
      </c>
      <c r="M341">
        <v>43.62</v>
      </c>
      <c r="N341">
        <v>16.14</v>
      </c>
    </row>
    <row r="342" spans="1:14">
      <c r="A342" s="1" t="s">
        <v>238</v>
      </c>
      <c r="B342" t="str">
        <f>HYPERLINK("https://www.suredividend.com/sure-analysis-MSFT/","Microsoft Corporation")</f>
        <v>Microsoft Corporation</v>
      </c>
      <c r="C342" t="s">
        <v>386</v>
      </c>
      <c r="D342">
        <v>279.43</v>
      </c>
      <c r="E342">
        <v>9.7341015638979355E-3</v>
      </c>
      <c r="F342">
        <v>9.6774193548387233E-2</v>
      </c>
      <c r="G342">
        <v>0.10116379654429861</v>
      </c>
      <c r="H342">
        <v>2.5904207587679098</v>
      </c>
      <c r="I342">
        <v>1900328.6039400001</v>
      </c>
      <c r="J342">
        <v>28.174303606273931</v>
      </c>
      <c r="K342">
        <v>0.28814468951812122</v>
      </c>
      <c r="M342">
        <v>312.88</v>
      </c>
      <c r="N342">
        <v>212.3</v>
      </c>
    </row>
    <row r="343" spans="1:14">
      <c r="A343" s="1" t="s">
        <v>134</v>
      </c>
      <c r="B343" t="str">
        <f>HYPERLINK("https://www.suredividend.com/sure-analysis-FDS/","Factset Research Systems Inc.")</f>
        <v>Factset Research Systems Inc.</v>
      </c>
      <c r="C343" t="s">
        <v>388</v>
      </c>
      <c r="D343">
        <v>405.81</v>
      </c>
      <c r="E343">
        <v>8.7725783001897442E-3</v>
      </c>
      <c r="F343">
        <v>8.5365853658536439E-2</v>
      </c>
      <c r="G343">
        <v>6.8174009248696432E-2</v>
      </c>
      <c r="H343">
        <v>3.5490786666737981</v>
      </c>
      <c r="I343">
        <v>16111.669954000001</v>
      </c>
      <c r="J343">
        <v>37.814785324408312</v>
      </c>
      <c r="K343">
        <v>0.32323120825808732</v>
      </c>
      <c r="M343">
        <v>473.13</v>
      </c>
      <c r="N343">
        <v>343.82</v>
      </c>
    </row>
    <row r="344" spans="1:14">
      <c r="A344" s="1" t="s">
        <v>149</v>
      </c>
      <c r="B344" t="str">
        <f>HYPERLINK("https://www.suredividend.com/sure-analysis-GL/","Globe Life Inc")</f>
        <v>Globe Life Inc</v>
      </c>
      <c r="C344" t="s">
        <v>388</v>
      </c>
      <c r="D344">
        <v>105.05</v>
      </c>
      <c r="E344">
        <v>8.5673488814850072E-3</v>
      </c>
      <c r="F344">
        <v>5.0632911392405111E-2</v>
      </c>
      <c r="G344">
        <v>5.3366794005815787E-2</v>
      </c>
      <c r="H344">
        <v>0.82767652431095007</v>
      </c>
      <c r="I344">
        <v>11635.683864000001</v>
      </c>
      <c r="J344">
        <v>15.73018918872954</v>
      </c>
      <c r="K344">
        <v>0.1108000701888822</v>
      </c>
      <c r="M344">
        <v>123.85</v>
      </c>
      <c r="N344">
        <v>87.36</v>
      </c>
    </row>
    <row r="345" spans="1:14">
      <c r="A345" s="1" t="s">
        <v>71</v>
      </c>
      <c r="B345" t="str">
        <f>HYPERLINK("https://www.suredividend.com/sure-analysis-BRO/","Brown &amp; Brown, Inc.")</f>
        <v>Brown &amp; Brown, Inc.</v>
      </c>
      <c r="C345" t="s">
        <v>388</v>
      </c>
      <c r="D345">
        <v>53.8</v>
      </c>
      <c r="E345">
        <v>8.5501858736059481E-3</v>
      </c>
      <c r="F345" t="s">
        <v>393</v>
      </c>
      <c r="G345" t="s">
        <v>393</v>
      </c>
      <c r="H345">
        <v>0.43380932859894</v>
      </c>
      <c r="I345">
        <v>16136.55582</v>
      </c>
      <c r="J345">
        <v>24.48271251706873</v>
      </c>
      <c r="K345">
        <v>0.18304191080124049</v>
      </c>
      <c r="M345">
        <v>73.47</v>
      </c>
      <c r="N345">
        <v>52.62</v>
      </c>
    </row>
    <row r="346" spans="1:14">
      <c r="A346" s="1" t="s">
        <v>203</v>
      </c>
      <c r="B346" t="str">
        <f>HYPERLINK("https://www.suredividend.com/sure-analysis-research-database/","Littelfuse, Inc.")</f>
        <v>Littelfuse, Inc.</v>
      </c>
      <c r="C346" t="s">
        <v>386</v>
      </c>
      <c r="D346">
        <v>251.52</v>
      </c>
      <c r="E346">
        <v>8.5062550354360004E-3</v>
      </c>
      <c r="F346">
        <v>0.1320754716981134</v>
      </c>
      <c r="G346">
        <v>0.10151370567009629</v>
      </c>
      <c r="H346">
        <v>2.321867374472832</v>
      </c>
      <c r="I346">
        <v>6762.2665479999996</v>
      </c>
      <c r="J346">
        <v>18.114540209693921</v>
      </c>
      <c r="K346">
        <v>0.1554128095363341</v>
      </c>
      <c r="M346">
        <v>279.72000000000003</v>
      </c>
      <c r="N346">
        <v>191.27</v>
      </c>
    </row>
    <row r="347" spans="1:14">
      <c r="A347" s="1" t="s">
        <v>361</v>
      </c>
      <c r="B347" t="str">
        <f>HYPERLINK("https://www.suredividend.com/sure-analysis-V/","Visa Inc")</f>
        <v>Visa Inc</v>
      </c>
      <c r="C347" t="s">
        <v>388</v>
      </c>
      <c r="D347">
        <v>217.39</v>
      </c>
      <c r="E347">
        <v>8.2800496802980829E-3</v>
      </c>
      <c r="F347">
        <v>0.2</v>
      </c>
      <c r="G347">
        <v>0.1247461131420948</v>
      </c>
      <c r="H347">
        <v>1.6425510584948799</v>
      </c>
      <c r="I347">
        <v>423018.06900000002</v>
      </c>
      <c r="J347">
        <v>23.9583561244831</v>
      </c>
      <c r="K347">
        <v>0.22972742076851471</v>
      </c>
      <c r="M347">
        <v>250.09</v>
      </c>
      <c r="N347">
        <v>173.47</v>
      </c>
    </row>
    <row r="348" spans="1:14">
      <c r="A348" s="1" t="s">
        <v>289</v>
      </c>
      <c r="B348" t="str">
        <f>HYPERLINK("https://www.suredividend.com/sure-analysis-RLI/","RLI Corp.")</f>
        <v>RLI Corp.</v>
      </c>
      <c r="C348" t="s">
        <v>388</v>
      </c>
      <c r="D348">
        <v>125.78</v>
      </c>
      <c r="E348">
        <v>8.2684051518524416E-3</v>
      </c>
      <c r="F348">
        <v>0</v>
      </c>
      <c r="G348">
        <v>2.4823563310859779E-2</v>
      </c>
      <c r="H348">
        <v>1.0368353798597809</v>
      </c>
      <c r="I348">
        <v>6181.737693</v>
      </c>
      <c r="J348">
        <v>10.595853854761049</v>
      </c>
      <c r="K348">
        <v>8.138425273624654E-2</v>
      </c>
      <c r="M348">
        <v>140.41</v>
      </c>
      <c r="N348">
        <v>100.56</v>
      </c>
    </row>
    <row r="349" spans="1:14">
      <c r="A349" s="1" t="s">
        <v>234</v>
      </c>
      <c r="B349" t="str">
        <f>HYPERLINK("https://www.suredividend.com/sure-analysis-MORN/","Morningstar Inc")</f>
        <v>Morningstar Inc</v>
      </c>
      <c r="C349" t="s">
        <v>388</v>
      </c>
      <c r="D349">
        <v>183.64</v>
      </c>
      <c r="E349">
        <v>8.1681550860379006E-3</v>
      </c>
      <c r="F349">
        <v>4.1666666666666741E-2</v>
      </c>
      <c r="G349">
        <v>8.4471771197698553E-2</v>
      </c>
      <c r="H349">
        <v>1.4514126923552111</v>
      </c>
      <c r="I349">
        <v>8965.8395639999999</v>
      </c>
      <c r="J349">
        <v>127.1750292774468</v>
      </c>
      <c r="K349">
        <v>0.88500773924098231</v>
      </c>
      <c r="M349">
        <v>292.20999999999998</v>
      </c>
      <c r="N349">
        <v>200.1</v>
      </c>
    </row>
    <row r="350" spans="1:14">
      <c r="A350" s="1" t="s">
        <v>340</v>
      </c>
      <c r="B350" t="str">
        <f>HYPERLINK("https://www.suredividend.com/sure-analysis-TR/","Tootsie Roll Industries, Inc.")</f>
        <v>Tootsie Roll Industries, Inc.</v>
      </c>
      <c r="C350" t="s">
        <v>387</v>
      </c>
      <c r="D350">
        <v>44.61</v>
      </c>
      <c r="E350">
        <v>8.0699394754539331E-3</v>
      </c>
      <c r="F350">
        <v>0</v>
      </c>
      <c r="G350">
        <v>0</v>
      </c>
      <c r="H350">
        <v>0.35100090250649602</v>
      </c>
      <c r="I350">
        <v>1693.7333080000001</v>
      </c>
      <c r="J350">
        <v>22.30445379248588</v>
      </c>
      <c r="K350">
        <v>0.31909172955136</v>
      </c>
      <c r="M350">
        <v>46.01</v>
      </c>
      <c r="N350">
        <v>29.85</v>
      </c>
    </row>
    <row r="351" spans="1:14">
      <c r="A351" s="1" t="s">
        <v>290</v>
      </c>
      <c r="B351" t="str">
        <f>HYPERLINK("https://www.suredividend.com/sure-analysis-RNR/","RenaissanceRe Holdings Ltd")</f>
        <v>RenaissanceRe Holdings Ltd</v>
      </c>
      <c r="C351" t="s">
        <v>388</v>
      </c>
      <c r="D351">
        <v>188.99</v>
      </c>
      <c r="E351">
        <v>8.0427535848457583E-3</v>
      </c>
      <c r="F351">
        <v>2.702702702702697E-2</v>
      </c>
      <c r="G351">
        <v>2.8617553510468241E-2</v>
      </c>
      <c r="H351">
        <v>1.4749386551718771</v>
      </c>
      <c r="I351">
        <v>9305.7449560000005</v>
      </c>
      <c r="J351" t="s">
        <v>393</v>
      </c>
      <c r="K351" t="s">
        <v>393</v>
      </c>
      <c r="M351">
        <v>223.8</v>
      </c>
      <c r="N351">
        <v>123.61</v>
      </c>
    </row>
    <row r="352" spans="1:14">
      <c r="A352" s="1" t="s">
        <v>198</v>
      </c>
      <c r="B352" t="str">
        <f>HYPERLINK("https://www.suredividend.com/sure-analysis-LAD/","Lithia Motors, Inc.")</f>
        <v>Lithia Motors, Inc.</v>
      </c>
      <c r="C352" t="s">
        <v>392</v>
      </c>
      <c r="D352">
        <v>209.59</v>
      </c>
      <c r="E352">
        <v>8.0156496016031299E-3</v>
      </c>
      <c r="F352">
        <v>0</v>
      </c>
      <c r="G352">
        <v>7.6887308061656112E-2</v>
      </c>
      <c r="H352">
        <v>1.6026854107967341</v>
      </c>
      <c r="I352">
        <v>7158.8363040000004</v>
      </c>
      <c r="J352">
        <v>5.7224910507274176</v>
      </c>
      <c r="K352">
        <v>3.6259850923003031E-2</v>
      </c>
      <c r="M352">
        <v>338.6</v>
      </c>
      <c r="N352">
        <v>179.28</v>
      </c>
    </row>
    <row r="353" spans="1:14">
      <c r="A353" s="1" t="s">
        <v>65</v>
      </c>
      <c r="B353" t="str">
        <f>HYPERLINK("https://www.suredividend.com/sure-analysis-BMI/","Badger Meter Inc.")</f>
        <v>Badger Meter Inc.</v>
      </c>
      <c r="C353" t="s">
        <v>385</v>
      </c>
      <c r="D353">
        <v>114.48</v>
      </c>
      <c r="E353">
        <v>7.8616352201257862E-3</v>
      </c>
      <c r="F353">
        <v>0.125</v>
      </c>
      <c r="G353">
        <v>0.1159579570439235</v>
      </c>
      <c r="H353">
        <v>0.87249008061504207</v>
      </c>
      <c r="I353">
        <v>3625.5886690000002</v>
      </c>
      <c r="J353">
        <v>54.52340996511068</v>
      </c>
      <c r="K353">
        <v>0.38605755779426643</v>
      </c>
      <c r="M353">
        <v>124.35</v>
      </c>
      <c r="N353">
        <v>72.75</v>
      </c>
    </row>
    <row r="354" spans="1:14">
      <c r="A354" s="1" t="s">
        <v>30</v>
      </c>
      <c r="B354" t="str">
        <f>HYPERLINK("https://www.suredividend.com/sure-analysis-ALB/","Albemarle Corp.")</f>
        <v>Albemarle Corp.</v>
      </c>
      <c r="C354" t="s">
        <v>390</v>
      </c>
      <c r="D354">
        <v>208.49</v>
      </c>
      <c r="E354">
        <v>7.5783011175595948E-3</v>
      </c>
      <c r="F354">
        <v>1.265822784810133E-2</v>
      </c>
      <c r="G354">
        <v>3.6103252096112433E-2</v>
      </c>
      <c r="H354">
        <v>1.576483568438062</v>
      </c>
      <c r="I354">
        <v>30397.639294000001</v>
      </c>
      <c r="J354">
        <v>11.30101066187799</v>
      </c>
      <c r="K354">
        <v>6.9022923311648957E-2</v>
      </c>
      <c r="M354">
        <v>334.02</v>
      </c>
      <c r="N354">
        <v>168.91</v>
      </c>
    </row>
    <row r="355" spans="1:14">
      <c r="A355" s="1" t="s">
        <v>37</v>
      </c>
      <c r="B355" t="str">
        <f>HYPERLINK("https://www.suredividend.com/sure-analysis-AON/","Aon plc.")</f>
        <v>Aon plc.</v>
      </c>
      <c r="C355" t="s">
        <v>388</v>
      </c>
      <c r="D355">
        <v>296.58999999999997</v>
      </c>
      <c r="E355">
        <v>7.5525135709228241E-3</v>
      </c>
      <c r="F355" t="s">
        <v>393</v>
      </c>
      <c r="G355" t="s">
        <v>393</v>
      </c>
      <c r="H355">
        <v>2.2338052055524842</v>
      </c>
      <c r="I355">
        <v>62377.643183</v>
      </c>
      <c r="J355">
        <v>0</v>
      </c>
      <c r="K355" t="s">
        <v>393</v>
      </c>
      <c r="M355">
        <v>339.47</v>
      </c>
      <c r="N355">
        <v>244.83</v>
      </c>
    </row>
    <row r="356" spans="1:14">
      <c r="A356" s="1" t="s">
        <v>181</v>
      </c>
      <c r="B356" t="str">
        <f>HYPERLINK("https://www.suredividend.com/sure-analysis-INTU/","Intuit Inc")</f>
        <v>Intuit Inc</v>
      </c>
      <c r="C356" t="s">
        <v>386</v>
      </c>
      <c r="D356">
        <v>413.69</v>
      </c>
      <c r="E356">
        <v>7.5418791848969038E-3</v>
      </c>
      <c r="F356">
        <v>0.14705882352941169</v>
      </c>
      <c r="G356">
        <v>0.1486983549970351</v>
      </c>
      <c r="H356">
        <v>2.9120007230088678</v>
      </c>
      <c r="I356">
        <v>114608.812877</v>
      </c>
      <c r="J356">
        <v>58.894559546187047</v>
      </c>
      <c r="K356">
        <v>0.42573109985509772</v>
      </c>
      <c r="M356">
        <v>504.2</v>
      </c>
      <c r="N356">
        <v>337.48</v>
      </c>
    </row>
    <row r="357" spans="1:14">
      <c r="A357" s="1" t="s">
        <v>96</v>
      </c>
      <c r="B357" t="str">
        <f>HYPERLINK("https://www.suredividend.com/sure-analysis-COST/","Costco Wholesale Corp")</f>
        <v>Costco Wholesale Corp</v>
      </c>
      <c r="C357" t="s">
        <v>387</v>
      </c>
      <c r="D357">
        <v>487.05</v>
      </c>
      <c r="E357">
        <v>7.3914382506929466E-3</v>
      </c>
      <c r="F357">
        <v>0.139240506329114</v>
      </c>
      <c r="G357">
        <v>9.5654257747853855E-2</v>
      </c>
      <c r="H357">
        <v>3.5905246419604939</v>
      </c>
      <c r="I357">
        <v>210886.66164899999</v>
      </c>
      <c r="J357">
        <v>35.840697085207339</v>
      </c>
      <c r="K357">
        <v>0.27139264111568362</v>
      </c>
      <c r="M357">
        <v>608.05999999999995</v>
      </c>
      <c r="N357">
        <v>404.37</v>
      </c>
    </row>
    <row r="358" spans="1:14">
      <c r="A358" s="1" t="s">
        <v>74</v>
      </c>
      <c r="B358" t="str">
        <f>HYPERLINK("https://www.suredividend.com/sure-analysis-CASY/","Casey`s General Stores, Inc.")</f>
        <v>Casey`s General Stores, Inc.</v>
      </c>
      <c r="C358" t="s">
        <v>387</v>
      </c>
      <c r="D358">
        <v>205.7</v>
      </c>
      <c r="E358">
        <v>7.3894020418084592E-3</v>
      </c>
      <c r="F358">
        <v>8.5714285714285632E-2</v>
      </c>
      <c r="G358">
        <v>7.8852443962371455E-2</v>
      </c>
      <c r="H358">
        <v>1.4863186869109599</v>
      </c>
      <c r="I358">
        <v>7942.7930379999998</v>
      </c>
      <c r="J358">
        <v>19.172199557215169</v>
      </c>
      <c r="K358">
        <v>0.13426546403893039</v>
      </c>
      <c r="M358">
        <v>249.49</v>
      </c>
      <c r="N358">
        <v>169.65</v>
      </c>
    </row>
    <row r="359" spans="1:14">
      <c r="A359" s="1" t="s">
        <v>228</v>
      </c>
      <c r="B359" t="str">
        <f>HYPERLINK("https://www.suredividend.com/sure-analysis-MKTX/","MarketAxess Holdings Inc.")</f>
        <v>MarketAxess Holdings Inc.</v>
      </c>
      <c r="C359" t="s">
        <v>388</v>
      </c>
      <c r="D359">
        <v>389.77</v>
      </c>
      <c r="E359">
        <v>7.3889729840675268E-3</v>
      </c>
      <c r="F359">
        <v>2.857142857142847E-2</v>
      </c>
      <c r="G359">
        <v>0.11382417860287911</v>
      </c>
      <c r="H359">
        <v>2.809871162611004</v>
      </c>
      <c r="I359">
        <v>13897.112874</v>
      </c>
      <c r="J359">
        <v>55.538688831127303</v>
      </c>
      <c r="K359">
        <v>0.42253701693398549</v>
      </c>
      <c r="M359">
        <v>388.77</v>
      </c>
      <c r="N359">
        <v>216.37</v>
      </c>
    </row>
    <row r="360" spans="1:14">
      <c r="A360" s="1" t="s">
        <v>172</v>
      </c>
      <c r="B360" t="str">
        <f>HYPERLINK("https://www.suredividend.com/sure-analysis-HUM/","Humana Inc.")</f>
        <v>Humana Inc.</v>
      </c>
      <c r="C360" t="s">
        <v>384</v>
      </c>
      <c r="D360">
        <v>495.55</v>
      </c>
      <c r="E360">
        <v>7.1435778428009279E-3</v>
      </c>
      <c r="F360">
        <v>0.125</v>
      </c>
      <c r="G360">
        <v>9.5105881968669426E-2</v>
      </c>
      <c r="H360">
        <v>3.142544418699091</v>
      </c>
      <c r="I360">
        <v>62513.566175</v>
      </c>
      <c r="J360">
        <v>22.278533918399852</v>
      </c>
      <c r="K360">
        <v>0.14232538128166181</v>
      </c>
      <c r="M360">
        <v>570.42999999999995</v>
      </c>
      <c r="N360">
        <v>408.89</v>
      </c>
    </row>
    <row r="361" spans="1:14">
      <c r="A361" s="1" t="s">
        <v>375</v>
      </c>
      <c r="B361" t="str">
        <f>HYPERLINK("https://www.suredividend.com/sure-analysis-WRB/","W.R. Berkley Corp.")</f>
        <v>W.R. Berkley Corp.</v>
      </c>
      <c r="C361" t="s">
        <v>388</v>
      </c>
      <c r="D361">
        <v>61</v>
      </c>
      <c r="E361">
        <v>6.5573770491803279E-3</v>
      </c>
      <c r="F361" t="s">
        <v>393</v>
      </c>
      <c r="G361" t="s">
        <v>393</v>
      </c>
      <c r="H361">
        <v>0.39706396252267201</v>
      </c>
      <c r="I361">
        <v>16836.854374999999</v>
      </c>
      <c r="J361">
        <v>12.191237160323</v>
      </c>
      <c r="K361">
        <v>8.0377320348719028E-2</v>
      </c>
      <c r="M361">
        <v>76.239999999999995</v>
      </c>
      <c r="N361">
        <v>60.2</v>
      </c>
    </row>
    <row r="362" spans="1:14">
      <c r="A362" s="1" t="s">
        <v>214</v>
      </c>
      <c r="B362" t="str">
        <f>HYPERLINK("https://www.suredividend.com/sure-analysis-MA/","Mastercard Incorporated")</f>
        <v>Mastercard Incorporated</v>
      </c>
      <c r="C362" t="s">
        <v>388</v>
      </c>
      <c r="D362">
        <v>349.66</v>
      </c>
      <c r="E362">
        <v>6.5206200308871474E-3</v>
      </c>
      <c r="F362">
        <v>0.16326530612244919</v>
      </c>
      <c r="G362">
        <v>0.17919863936946781</v>
      </c>
      <c r="H362">
        <v>2.0352944394140802</v>
      </c>
      <c r="I362">
        <v>341878.86450000003</v>
      </c>
      <c r="J362">
        <v>34.42888867069486</v>
      </c>
      <c r="K362">
        <v>0.19895351313920631</v>
      </c>
      <c r="M362">
        <v>390</v>
      </c>
      <c r="N362">
        <v>276.42</v>
      </c>
    </row>
    <row r="363" spans="1:14">
      <c r="A363" s="1" t="s">
        <v>292</v>
      </c>
      <c r="B363" t="str">
        <f>HYPERLINK("https://www.suredividend.com/sure-analysis-ROP/","Roper Technologies Inc")</f>
        <v>Roper Technologies Inc</v>
      </c>
      <c r="C363" t="s">
        <v>385</v>
      </c>
      <c r="D363">
        <v>425.66</v>
      </c>
      <c r="E363">
        <v>6.4135695155758113E-3</v>
      </c>
      <c r="F363">
        <v>0.10080645161290321</v>
      </c>
      <c r="G363">
        <v>0.1059506305412523</v>
      </c>
      <c r="H363">
        <v>2.536620893955785</v>
      </c>
      <c r="I363">
        <v>45696.295010000002</v>
      </c>
      <c r="J363">
        <v>10.05485400802033</v>
      </c>
      <c r="K363">
        <v>5.9615062137621272E-2</v>
      </c>
      <c r="M363">
        <v>485.92</v>
      </c>
      <c r="N363">
        <v>355.66</v>
      </c>
    </row>
    <row r="364" spans="1:14">
      <c r="A364" s="1" t="s">
        <v>220</v>
      </c>
      <c r="B364" t="str">
        <f>HYPERLINK("https://www.suredividend.com/sure-analysis-MCK/","Mckesson Corporation")</f>
        <v>Mckesson Corporation</v>
      </c>
      <c r="C364" t="s">
        <v>384</v>
      </c>
      <c r="D364">
        <v>339.35</v>
      </c>
      <c r="E364">
        <v>6.3651097686754088E-3</v>
      </c>
      <c r="F364">
        <v>0.14893617021276609</v>
      </c>
      <c r="G364">
        <v>6.7249181879538877E-2</v>
      </c>
      <c r="H364">
        <v>2.0855230259223729</v>
      </c>
      <c r="I364">
        <v>47335.782596999998</v>
      </c>
      <c r="J364">
        <v>15.07029054348615</v>
      </c>
      <c r="K364">
        <v>9.6596712641147428E-2</v>
      </c>
      <c r="M364">
        <v>400.6</v>
      </c>
      <c r="N364">
        <v>269.92</v>
      </c>
    </row>
    <row r="365" spans="1:14">
      <c r="A365" s="1" t="s">
        <v>58</v>
      </c>
      <c r="B365" t="str">
        <f>HYPERLINK("https://www.suredividend.com/sure-analysis-research-database/","Balchem Corp.")</f>
        <v>Balchem Corp.</v>
      </c>
      <c r="C365" t="s">
        <v>390</v>
      </c>
      <c r="D365">
        <v>125.78</v>
      </c>
      <c r="E365">
        <v>5.3500111411520007E-3</v>
      </c>
      <c r="F365" t="s">
        <v>393</v>
      </c>
      <c r="G365" t="s">
        <v>393</v>
      </c>
      <c r="H365">
        <v>0.7099999785423271</v>
      </c>
      <c r="I365">
        <v>4269.2073110000001</v>
      </c>
      <c r="J365">
        <v>40.517498945305462</v>
      </c>
      <c r="K365">
        <v>0.2184615318591776</v>
      </c>
      <c r="M365">
        <v>143.04</v>
      </c>
      <c r="N365">
        <v>109.5</v>
      </c>
    </row>
    <row r="366" spans="1:14">
      <c r="A366" s="1" t="s">
        <v>86</v>
      </c>
      <c r="B366" t="str">
        <f>HYPERLINK("https://www.suredividend.com/sure-analysis-CHE/","Chemed Corp.")</f>
        <v>Chemed Corp.</v>
      </c>
      <c r="C366" t="s">
        <v>384</v>
      </c>
      <c r="D366">
        <v>514.70000000000005</v>
      </c>
      <c r="E366">
        <v>2.953176607732659E-3</v>
      </c>
      <c r="F366">
        <v>5.555555555555558E-2</v>
      </c>
      <c r="G366">
        <v>4.8413171284721328E-2</v>
      </c>
      <c r="H366">
        <v>1.4974607229015451</v>
      </c>
      <c r="I366">
        <v>7795.2050660000004</v>
      </c>
      <c r="J366">
        <v>31.227786856712498</v>
      </c>
      <c r="K366">
        <v>9.0590485353995456E-2</v>
      </c>
      <c r="M366">
        <v>539.13</v>
      </c>
      <c r="N366">
        <v>429.18</v>
      </c>
    </row>
    <row r="367" spans="1:14">
      <c r="A367" s="1" t="s">
        <v>85</v>
      </c>
      <c r="B367" t="str">
        <f>HYPERLINK("https://www.suredividend.com/sure-analysis-research-database/","Churchill Downs, Inc.")</f>
        <v>Churchill Downs, Inc.</v>
      </c>
      <c r="C367" t="s">
        <v>392</v>
      </c>
      <c r="D367">
        <v>246.91</v>
      </c>
      <c r="E367">
        <v>2.8775238248030001E-3</v>
      </c>
      <c r="F367" t="s">
        <v>393</v>
      </c>
      <c r="G367" t="s">
        <v>393</v>
      </c>
      <c r="H367">
        <v>0.71399998664855902</v>
      </c>
      <c r="I367">
        <v>9275.7169959999992</v>
      </c>
      <c r="J367">
        <v>21.109961300796542</v>
      </c>
      <c r="K367">
        <v>6.2576685946411831E-2</v>
      </c>
      <c r="M367">
        <v>253.29</v>
      </c>
      <c r="N367">
        <v>172.19</v>
      </c>
    </row>
    <row r="368" spans="1:14">
      <c r="A368" s="1" t="s">
        <v>121</v>
      </c>
      <c r="B368" t="str">
        <f>HYPERLINK("https://www.suredividend.com/sure-analysis-ENSG/","Ensign Group Inc")</f>
        <v>Ensign Group Inc</v>
      </c>
      <c r="C368" t="s">
        <v>384</v>
      </c>
      <c r="D368">
        <v>90.28</v>
      </c>
      <c r="E368">
        <v>2.5476295968099249E-3</v>
      </c>
      <c r="F368">
        <v>4.5454545454545407E-2</v>
      </c>
      <c r="G368">
        <v>5.0246072638682637E-2</v>
      </c>
      <c r="H368">
        <v>0.22228296349010701</v>
      </c>
      <c r="I368">
        <v>5096.7018250000001</v>
      </c>
      <c r="J368">
        <v>22.68416922347684</v>
      </c>
      <c r="K368">
        <v>5.627416797217899E-2</v>
      </c>
      <c r="M368">
        <v>99.52</v>
      </c>
      <c r="N368">
        <v>70.150000000000006</v>
      </c>
    </row>
    <row r="369" spans="1:14">
      <c r="A369" s="1" t="s">
        <v>107</v>
      </c>
      <c r="B369" t="str">
        <f>HYPERLINK("https://www.suredividend.com/sure-analysis-DDS/","Dillard`s Inc.")</f>
        <v>Dillard`s Inc.</v>
      </c>
      <c r="C369" t="s">
        <v>392</v>
      </c>
      <c r="D369">
        <v>317.44</v>
      </c>
      <c r="E369">
        <v>2.520161290322581E-3</v>
      </c>
      <c r="F369">
        <v>0</v>
      </c>
      <c r="G369">
        <v>0.1486983549970351</v>
      </c>
      <c r="H369">
        <v>0.77163680757440001</v>
      </c>
      <c r="I369">
        <v>4741.4871990000001</v>
      </c>
      <c r="J369">
        <v>5.1331962737322332</v>
      </c>
      <c r="K369">
        <v>1.5124202422077619E-2</v>
      </c>
      <c r="M369">
        <v>417.86</v>
      </c>
      <c r="N369">
        <v>183.88</v>
      </c>
    </row>
    <row r="370" spans="1:14">
      <c r="A370" s="1" t="s">
        <v>378</v>
      </c>
      <c r="B370" t="str">
        <f>HYPERLINK("https://www.suredividend.com/sure-analysis-WST/","West Pharmaceutical Services, Inc.")</f>
        <v>West Pharmaceutical Services, Inc.</v>
      </c>
      <c r="C370" t="s">
        <v>384</v>
      </c>
      <c r="D370">
        <v>329.72</v>
      </c>
      <c r="E370">
        <v>2.3049860487686521E-3</v>
      </c>
      <c r="F370">
        <v>5.555555555555558E-2</v>
      </c>
      <c r="G370">
        <v>6.2980048262344379E-2</v>
      </c>
      <c r="H370">
        <v>0.73919108593233807</v>
      </c>
      <c r="I370">
        <v>24409.872510000001</v>
      </c>
      <c r="J370">
        <v>41.662182130124592</v>
      </c>
      <c r="K370">
        <v>9.5626272436266244E-2</v>
      </c>
      <c r="M370">
        <v>422.87</v>
      </c>
      <c r="N370">
        <v>205.87</v>
      </c>
    </row>
    <row r="371" spans="1:14">
      <c r="A371" s="1" t="s">
        <v>160</v>
      </c>
      <c r="B371" t="str">
        <f>HYPERLINK("https://www.suredividend.com/sure-analysis-HEI/","Heico Corp.")</f>
        <v>Heico Corp.</v>
      </c>
      <c r="C371" t="s">
        <v>385</v>
      </c>
      <c r="D371">
        <v>163.35</v>
      </c>
      <c r="E371">
        <v>1.2243648607284971E-3</v>
      </c>
      <c r="F371" t="s">
        <v>393</v>
      </c>
      <c r="G371" t="s">
        <v>393</v>
      </c>
      <c r="H371">
        <v>0.18994083788893601</v>
      </c>
      <c r="I371">
        <v>20222.285188999998</v>
      </c>
      <c r="J371">
        <v>56.521406081066353</v>
      </c>
      <c r="K371">
        <v>7.3336230845149036E-2</v>
      </c>
      <c r="M371">
        <v>177.55</v>
      </c>
      <c r="N371">
        <v>126.78</v>
      </c>
    </row>
  </sheetData>
  <autoFilter ref="A1:O371"/>
  <sortState ref="A2:N371">
    <sortCondition descending="1" ref="E2:E371"/>
  </sortState>
  <conditionalFormatting sqref="A1:N1">
    <cfRule type="cellIs" dxfId="24" priority="15" operator="notEqual">
      <formula>-13.345</formula>
    </cfRule>
  </conditionalFormatting>
  <conditionalFormatting sqref="A2:A371">
    <cfRule type="cellIs" dxfId="23" priority="1" operator="notEqual">
      <formula>"None"</formula>
    </cfRule>
  </conditionalFormatting>
  <conditionalFormatting sqref="B2:B371">
    <cfRule type="cellIs" dxfId="22" priority="2" operator="notEqual">
      <formula>"None"</formula>
    </cfRule>
  </conditionalFormatting>
  <conditionalFormatting sqref="C2:C371">
    <cfRule type="cellIs" dxfId="21" priority="3" operator="notEqual">
      <formula>"None"</formula>
    </cfRule>
  </conditionalFormatting>
  <conditionalFormatting sqref="D2:D371">
    <cfRule type="cellIs" dxfId="20" priority="4" operator="notEqual">
      <formula>"None"</formula>
    </cfRule>
  </conditionalFormatting>
  <conditionalFormatting sqref="E2:E371">
    <cfRule type="cellIs" dxfId="19" priority="5" operator="notEqual">
      <formula>"None"</formula>
    </cfRule>
  </conditionalFormatting>
  <conditionalFormatting sqref="F2:F371">
    <cfRule type="cellIs" dxfId="18" priority="6" operator="notEqual">
      <formula>"None"</formula>
    </cfRule>
  </conditionalFormatting>
  <conditionalFormatting sqref="G2:G371">
    <cfRule type="cellIs" dxfId="17" priority="7" operator="notEqual">
      <formula>"None"</formula>
    </cfRule>
  </conditionalFormatting>
  <conditionalFormatting sqref="H2:H371">
    <cfRule type="cellIs" dxfId="16" priority="8" operator="notEqual">
      <formula>"None"</formula>
    </cfRule>
  </conditionalFormatting>
  <conditionalFormatting sqref="I2:I371">
    <cfRule type="cellIs" dxfId="15" priority="9" operator="notEqual">
      <formula>"None"</formula>
    </cfRule>
  </conditionalFormatting>
  <conditionalFormatting sqref="J2:J371">
    <cfRule type="cellIs" dxfId="14" priority="10" operator="notEqual">
      <formula>"None"</formula>
    </cfRule>
  </conditionalFormatting>
  <conditionalFormatting sqref="K2:K371">
    <cfRule type="cellIs" dxfId="13" priority="11" operator="notEqual">
      <formula>"None"</formula>
    </cfRule>
  </conditionalFormatting>
  <conditionalFormatting sqref="L2:L371">
    <cfRule type="cellIs" dxfId="12" priority="12" operator="notEqual">
      <formula>"None"</formula>
    </cfRule>
  </conditionalFormatting>
  <conditionalFormatting sqref="M2:M371">
    <cfRule type="cellIs" dxfId="11" priority="13" operator="notEqual">
      <formula>"None"</formula>
    </cfRule>
  </conditionalFormatting>
  <conditionalFormatting sqref="N2:N371">
    <cfRule type="cellIs" dxfId="10" priority="14" operator="notEqual">
      <formula>"None"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37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25.7109375" customWidth="1"/>
    <col min="2" max="2" width="45.7109375" customWidth="1"/>
    <col min="3" max="9" width="25.7109375" customWidth="1"/>
  </cols>
  <sheetData>
    <row r="1" spans="1:9">
      <c r="A1" s="1" t="s">
        <v>13</v>
      </c>
      <c r="B1" s="1" t="s">
        <v>0</v>
      </c>
      <c r="C1" s="1" t="s">
        <v>396</v>
      </c>
      <c r="D1" s="1" t="s">
        <v>397</v>
      </c>
      <c r="E1" s="1" t="s">
        <v>398</v>
      </c>
      <c r="F1" s="1" t="s">
        <v>399</v>
      </c>
      <c r="G1" s="1" t="s">
        <v>400</v>
      </c>
      <c r="H1" s="1" t="s">
        <v>401</v>
      </c>
      <c r="I1" s="1" t="s">
        <v>402</v>
      </c>
    </row>
    <row r="2" spans="1:9">
      <c r="A2" s="1" t="s">
        <v>14</v>
      </c>
      <c r="B2" t="str">
        <f>HYPERLINK("https://www.suredividend.com/sure-analysis-ABC/","Amerisource Bergen Corp.")</f>
        <v>Amerisource Bergen Corp.</v>
      </c>
      <c r="C2">
        <v>-6.2976644880800002E-4</v>
      </c>
      <c r="D2">
        <v>-9.9768586045749993E-2</v>
      </c>
      <c r="E2">
        <v>6.6997026894611011E-2</v>
      </c>
      <c r="F2">
        <v>-5.4786659628766013E-2</v>
      </c>
      <c r="G2">
        <v>7.6563930592479013E-2</v>
      </c>
      <c r="H2">
        <v>0.56189203490076001</v>
      </c>
      <c r="I2">
        <v>0.80732931936081997</v>
      </c>
    </row>
    <row r="3" spans="1:9">
      <c r="A3" s="1" t="s">
        <v>15</v>
      </c>
      <c r="B3" t="str">
        <f>HYPERLINK("https://www.suredividend.com/sure-analysis-ABM/","ABM Industries Inc.")</f>
        <v>ABM Industries Inc.</v>
      </c>
      <c r="C3">
        <v>1.6871485107269001E-2</v>
      </c>
      <c r="D3">
        <v>5.9848208548254997E-2</v>
      </c>
      <c r="E3">
        <v>9.6049104436731009E-2</v>
      </c>
      <c r="F3">
        <v>0.104464915932166</v>
      </c>
      <c r="G3">
        <v>6.7318455295928004E-2</v>
      </c>
      <c r="H3">
        <v>0.137825592452408</v>
      </c>
      <c r="I3">
        <v>0.59280659569400607</v>
      </c>
    </row>
    <row r="4" spans="1:9">
      <c r="A4" s="1" t="s">
        <v>16</v>
      </c>
      <c r="B4" t="str">
        <f>HYPERLINK("https://www.suredividend.com/sure-analysis-ABT/","Abbott Laboratories")</f>
        <v>Abbott Laboratories</v>
      </c>
      <c r="C4">
        <v>-6.5658824581805011E-2</v>
      </c>
      <c r="D4">
        <v>-2.9300352778923001E-2</v>
      </c>
      <c r="E4">
        <v>2.8468237119775999E-2</v>
      </c>
      <c r="F4">
        <v>-4.4330441163419013E-2</v>
      </c>
      <c r="G4">
        <v>-0.124383631464848</v>
      </c>
      <c r="H4">
        <v>-6.9926066023228012E-2</v>
      </c>
      <c r="I4">
        <v>0.90672126090043903</v>
      </c>
    </row>
    <row r="5" spans="1:9">
      <c r="A5" s="1" t="s">
        <v>17</v>
      </c>
      <c r="B5" t="str">
        <f>HYPERLINK("https://www.suredividend.com/sure-analysis-ACN/","Accenture plc")</f>
        <v>Accenture plc</v>
      </c>
      <c r="C5">
        <v>-6.9220662471475E-2</v>
      </c>
      <c r="D5">
        <v>-9.9386331481365012E-2</v>
      </c>
      <c r="E5">
        <v>-4.4238412100822001E-2</v>
      </c>
      <c r="F5">
        <v>1.2970690829454E-2</v>
      </c>
      <c r="G5">
        <v>-0.13012401226098599</v>
      </c>
      <c r="H5">
        <v>0.119152769757598</v>
      </c>
      <c r="I5">
        <v>0.84465433973434711</v>
      </c>
    </row>
    <row r="6" spans="1:9">
      <c r="A6" s="1" t="s">
        <v>18</v>
      </c>
      <c r="B6" t="str">
        <f>HYPERLINK("https://www.suredividend.com/sure-analysis-ADI/","Analog Devices Inc.")</f>
        <v>Analog Devices Inc.</v>
      </c>
      <c r="C6">
        <v>4.6397695172131007E-2</v>
      </c>
      <c r="D6">
        <v>0.109629619038086</v>
      </c>
      <c r="E6">
        <v>0.26454824565572499</v>
      </c>
      <c r="F6">
        <v>0.14074705610699301</v>
      </c>
      <c r="G6">
        <v>0.209650445118889</v>
      </c>
      <c r="H6">
        <v>0.33553233063836602</v>
      </c>
      <c r="I6">
        <v>1.3009195030260949</v>
      </c>
    </row>
    <row r="7" spans="1:9">
      <c r="A7" s="1" t="s">
        <v>19</v>
      </c>
      <c r="B7" t="str">
        <f>HYPERLINK("https://www.suredividend.com/sure-analysis-ADM/","Archer Daniels Midland Co.")</f>
        <v>Archer Daniels Midland Co.</v>
      </c>
      <c r="C7">
        <v>-9.4351727500570012E-3</v>
      </c>
      <c r="D7">
        <v>-0.11128847821582299</v>
      </c>
      <c r="E7">
        <v>-6.5735091063743006E-2</v>
      </c>
      <c r="F7">
        <v>-0.122200022740932</v>
      </c>
      <c r="G7">
        <v>-2.2721510106510001E-3</v>
      </c>
      <c r="H7">
        <v>0.52225923853235101</v>
      </c>
      <c r="I7">
        <v>1.2042747593408381</v>
      </c>
    </row>
    <row r="8" spans="1:9">
      <c r="A8" s="1" t="s">
        <v>20</v>
      </c>
      <c r="B8" t="str">
        <f>HYPERLINK("https://www.suredividend.com/sure-analysis-ADP/","Automatic Data Processing Inc.")</f>
        <v>Automatic Data Processing Inc.</v>
      </c>
      <c r="C8">
        <v>-2.4854644711730001E-3</v>
      </c>
      <c r="D8">
        <v>-0.16324923631367999</v>
      </c>
      <c r="E8">
        <v>-4.8914365899887013E-2</v>
      </c>
      <c r="F8">
        <v>-5.9072259901197008E-2</v>
      </c>
      <c r="G8">
        <v>9.8666885666784013E-2</v>
      </c>
      <c r="H8">
        <v>0.36470753968278002</v>
      </c>
      <c r="I8">
        <v>1.1930894507274521</v>
      </c>
    </row>
    <row r="9" spans="1:9">
      <c r="A9" s="1" t="s">
        <v>21</v>
      </c>
      <c r="B9" t="str">
        <f>HYPERLINK("https://www.suredividend.com/sure-analysis-AEL/","American Equity Investment Life Holding Co")</f>
        <v>American Equity Investment Life Holding Co</v>
      </c>
      <c r="C9">
        <v>-0.11719239607269601</v>
      </c>
      <c r="D9">
        <v>-3.7718057520029998E-3</v>
      </c>
      <c r="E9">
        <v>0.111812680873454</v>
      </c>
      <c r="F9">
        <v>-7.3651907058307001E-2</v>
      </c>
      <c r="G9">
        <v>0.159078442128359</v>
      </c>
      <c r="H9">
        <v>0.46076736951261599</v>
      </c>
      <c r="I9">
        <v>0.47504363001745198</v>
      </c>
    </row>
    <row r="10" spans="1:9">
      <c r="A10" s="1" t="s">
        <v>22</v>
      </c>
      <c r="B10" t="str">
        <f>HYPERLINK("https://www.suredividend.com/sure-analysis-AEP/","American Electric Power Company Inc.")</f>
        <v>American Electric Power Company Inc.</v>
      </c>
      <c r="C10">
        <v>-2.3822072424973001E-2</v>
      </c>
      <c r="D10">
        <v>-5.4712907110608007E-2</v>
      </c>
      <c r="E10">
        <v>-0.10218864821395</v>
      </c>
      <c r="F10">
        <v>-5.3019834605327013E-2</v>
      </c>
      <c r="G10">
        <v>-1.9000060562348001E-2</v>
      </c>
      <c r="H10">
        <v>0.250745828624376</v>
      </c>
      <c r="I10">
        <v>0.61859687690197407</v>
      </c>
    </row>
    <row r="11" spans="1:9">
      <c r="A11" s="1" t="s">
        <v>23</v>
      </c>
      <c r="B11" t="str">
        <f>HYPERLINK("https://www.suredividend.com/sure-analysis-AFG/","American Financial Group Inc")</f>
        <v>American Financial Group Inc</v>
      </c>
      <c r="C11">
        <v>1.2593179387046001E-2</v>
      </c>
      <c r="D11">
        <v>-3.0865485793178001E-2</v>
      </c>
      <c r="E11">
        <v>0.1007372229198</v>
      </c>
      <c r="F11">
        <v>6.2006649704600002E-4</v>
      </c>
      <c r="G11">
        <v>0.102537388395173</v>
      </c>
      <c r="H11">
        <v>0.71665886817621305</v>
      </c>
      <c r="I11">
        <v>0.94645882552951999</v>
      </c>
    </row>
    <row r="12" spans="1:9">
      <c r="A12" s="1" t="s">
        <v>24</v>
      </c>
      <c r="B12" t="str">
        <f>HYPERLINK("https://www.suredividend.com/sure-analysis-AFL/","Aflac Inc.")</f>
        <v>Aflac Inc.</v>
      </c>
      <c r="C12">
        <v>-7.8226026245440013E-3</v>
      </c>
      <c r="D12">
        <v>-4.8282556064973003E-2</v>
      </c>
      <c r="E12">
        <v>0.165831131643184</v>
      </c>
      <c r="F12">
        <v>-4.2991281488368997E-2</v>
      </c>
      <c r="G12">
        <v>0.168023729108605</v>
      </c>
      <c r="H12">
        <v>0.48503680044438202</v>
      </c>
      <c r="I12">
        <v>0.73455086436085903</v>
      </c>
    </row>
    <row r="13" spans="1:9">
      <c r="A13" s="1" t="s">
        <v>25</v>
      </c>
      <c r="B13" t="str">
        <f>HYPERLINK("https://www.suredividend.com/sure-analysis-AGM/","Federal Agricultural Mortgage Corp.")</f>
        <v>Federal Agricultural Mortgage Corp.</v>
      </c>
      <c r="C13">
        <v>9.4863420427553011E-2</v>
      </c>
      <c r="D13">
        <v>0.18694791833476401</v>
      </c>
      <c r="E13">
        <v>0.38691951541502201</v>
      </c>
      <c r="F13">
        <v>0.30866826368556399</v>
      </c>
      <c r="G13">
        <v>0.29235077291337902</v>
      </c>
      <c r="H13">
        <v>0.8133335956007911</v>
      </c>
      <c r="I13">
        <v>1.2305023847472949</v>
      </c>
    </row>
    <row r="14" spans="1:9">
      <c r="A14" s="1" t="s">
        <v>26</v>
      </c>
      <c r="B14" t="str">
        <f>HYPERLINK("https://www.suredividend.com/sure-analysis-AGO/","Assured Guaranty Ltd")</f>
        <v>Assured Guaranty Ltd</v>
      </c>
      <c r="C14">
        <v>-3.9076376554174001E-2</v>
      </c>
      <c r="D14">
        <v>-0.102413273001508</v>
      </c>
      <c r="E14">
        <v>0.15656927851921801</v>
      </c>
      <c r="F14">
        <v>-4.4169611307419997E-2</v>
      </c>
      <c r="G14">
        <v>4.0645125368860002E-3</v>
      </c>
      <c r="H14">
        <v>0.42773172750500799</v>
      </c>
      <c r="I14">
        <v>0.89016643374412308</v>
      </c>
    </row>
    <row r="15" spans="1:9">
      <c r="A15" s="1" t="s">
        <v>27</v>
      </c>
      <c r="B15" t="str">
        <f>HYPERLINK("https://www.suredividend.com/sure-analysis-AIT/","Applied Industrial Technologies Inc.")</f>
        <v>Applied Industrial Technologies Inc.</v>
      </c>
      <c r="C15">
        <v>-2.8067863022190002E-3</v>
      </c>
      <c r="D15">
        <v>0.100651469771924</v>
      </c>
      <c r="E15">
        <v>0.38235167371329198</v>
      </c>
      <c r="F15">
        <v>0.14816087455895</v>
      </c>
      <c r="G15">
        <v>0.45229802141372399</v>
      </c>
      <c r="H15">
        <v>0.71572968135090309</v>
      </c>
      <c r="I15">
        <v>1.2196423354297039</v>
      </c>
    </row>
    <row r="16" spans="1:9">
      <c r="A16" s="1" t="s">
        <v>28</v>
      </c>
      <c r="B16" t="str">
        <f>HYPERLINK("https://www.suredividend.com/sure-analysis-AIZ/","Assurant Inc")</f>
        <v>Assurant Inc</v>
      </c>
      <c r="C16">
        <v>-4.8610839395516997E-2</v>
      </c>
      <c r="D16">
        <v>-1.0475158183888E-2</v>
      </c>
      <c r="E16">
        <v>-0.19991090434619699</v>
      </c>
      <c r="F16">
        <v>1.6585033269762999E-2</v>
      </c>
      <c r="G16">
        <v>-0.243510699082508</v>
      </c>
      <c r="H16">
        <v>1.278557685684E-2</v>
      </c>
      <c r="I16">
        <v>0.58414154537743601</v>
      </c>
    </row>
    <row r="17" spans="1:9">
      <c r="A17" s="1" t="s">
        <v>29</v>
      </c>
      <c r="B17" t="str">
        <f>HYPERLINK("https://www.suredividend.com/sure-analysis-AJG/","Arthur J. Gallagher &amp; Co.")</f>
        <v>Arthur J. Gallagher &amp; Co.</v>
      </c>
      <c r="C17">
        <v>-2.0180558802384001E-2</v>
      </c>
      <c r="D17">
        <v>-5.8008028085842003E-2</v>
      </c>
      <c r="E17">
        <v>5.3206337178690007E-2</v>
      </c>
      <c r="F17">
        <v>5.5439767899830008E-3</v>
      </c>
      <c r="G17">
        <v>0.196066136389377</v>
      </c>
      <c r="H17">
        <v>0.60646631800265505</v>
      </c>
      <c r="I17">
        <v>1.9722679522437061</v>
      </c>
    </row>
    <row r="18" spans="1:9">
      <c r="A18" s="1" t="s">
        <v>30</v>
      </c>
      <c r="B18" t="str">
        <f>HYPERLINK("https://www.suredividend.com/sure-analysis-ALB/","Albemarle Corp.")</f>
        <v>Albemarle Corp.</v>
      </c>
      <c r="C18">
        <v>-9.6995439195070005E-2</v>
      </c>
      <c r="D18">
        <v>-8.6168687263720012E-2</v>
      </c>
      <c r="E18">
        <v>9.1806457015500005E-4</v>
      </c>
      <c r="F18">
        <v>0.196025085308493</v>
      </c>
      <c r="G18">
        <v>0.45788588840430711</v>
      </c>
      <c r="H18">
        <v>0.85984444050856912</v>
      </c>
      <c r="I18">
        <v>1.914842806169752</v>
      </c>
    </row>
    <row r="19" spans="1:9">
      <c r="A19" s="1" t="s">
        <v>31</v>
      </c>
      <c r="B19" t="str">
        <f>HYPERLINK("https://www.suredividend.com/sure-analysis-ALE/","Allete, Inc.")</f>
        <v>Allete, Inc.</v>
      </c>
      <c r="C19">
        <v>4.8637017403100006E-3</v>
      </c>
      <c r="D19">
        <v>-4.4693020350724012E-2</v>
      </c>
      <c r="E19">
        <v>5.9545612374811013E-2</v>
      </c>
      <c r="F19">
        <v>-2.4108058280737001E-2</v>
      </c>
      <c r="G19">
        <v>1.8217867672609999E-3</v>
      </c>
      <c r="H19">
        <v>7.2026396820257008E-2</v>
      </c>
      <c r="I19">
        <v>9.037596513599401E-2</v>
      </c>
    </row>
    <row r="20" spans="1:9">
      <c r="A20" s="1" t="s">
        <v>32</v>
      </c>
      <c r="B20" t="str">
        <f>HYPERLINK("https://www.suredividend.com/sure-analysis-ALL/","Allstate Corp (The)")</f>
        <v>Allstate Corp (The)</v>
      </c>
      <c r="C20">
        <v>-1.7722846510856999E-2</v>
      </c>
      <c r="D20">
        <v>-1.4119185934674001E-2</v>
      </c>
      <c r="E20">
        <v>6.8768893011337012E-2</v>
      </c>
      <c r="F20">
        <v>-4.8654283505922997E-2</v>
      </c>
      <c r="G20">
        <v>3.1435726653833998E-2</v>
      </c>
      <c r="H20">
        <v>0.23468567695234099</v>
      </c>
      <c r="I20">
        <v>0.56206378213763608</v>
      </c>
    </row>
    <row r="21" spans="1:9">
      <c r="A21" s="1" t="s">
        <v>33</v>
      </c>
      <c r="B21" t="str">
        <f>HYPERLINK("https://www.suredividend.com/sure-analysis-AMGN/","AMGEN Inc.")</f>
        <v>AMGEN Inc.</v>
      </c>
      <c r="C21">
        <v>-3.3810262901046002E-2</v>
      </c>
      <c r="D21">
        <v>-0.170324315882383</v>
      </c>
      <c r="E21">
        <v>-1.5916495604921001E-2</v>
      </c>
      <c r="F21">
        <v>-9.8078274099547003E-2</v>
      </c>
      <c r="G21">
        <v>4.0253158836968013E-2</v>
      </c>
      <c r="H21">
        <v>0.126867494568662</v>
      </c>
      <c r="I21">
        <v>0.48364615156177398</v>
      </c>
    </row>
    <row r="22" spans="1:9">
      <c r="A22" s="1" t="s">
        <v>34</v>
      </c>
      <c r="B22" t="str">
        <f>HYPERLINK("https://www.suredividend.com/sure-analysis-AMP/","Ameriprise Financial Inc")</f>
        <v>Ameriprise Financial Inc</v>
      </c>
      <c r="C22">
        <v>-2.2431946038628001E-2</v>
      </c>
      <c r="D22">
        <v>4.8388224302133007E-2</v>
      </c>
      <c r="E22">
        <v>0.29486539864233002</v>
      </c>
      <c r="F22">
        <v>0.11172169731504999</v>
      </c>
      <c r="G22">
        <v>0.24623029156506601</v>
      </c>
      <c r="H22">
        <v>0.64062771263877405</v>
      </c>
      <c r="I22">
        <v>1.5552376705133879</v>
      </c>
    </row>
    <row r="23" spans="1:9">
      <c r="A23" s="1" t="s">
        <v>35</v>
      </c>
      <c r="B23" t="str">
        <f>HYPERLINK("https://www.suredividend.com/sure-analysis-ANDE/","Andersons Inc.")</f>
        <v>Andersons Inc.</v>
      </c>
      <c r="C23">
        <v>0.22345483359746399</v>
      </c>
      <c r="D23">
        <v>0.27885499407784098</v>
      </c>
      <c r="E23">
        <v>0.288513536068364</v>
      </c>
      <c r="F23">
        <v>0.32380680194341199</v>
      </c>
      <c r="G23">
        <v>-2.1087201856382999E-2</v>
      </c>
      <c r="H23">
        <v>0.87152271322308306</v>
      </c>
      <c r="I23">
        <v>0.48414920954315599</v>
      </c>
    </row>
    <row r="24" spans="1:9">
      <c r="A24" s="1" t="s">
        <v>36</v>
      </c>
      <c r="B24" t="str">
        <f>HYPERLINK("https://www.suredividend.com/sure-analysis-ANTM/","Anthem Inc")</f>
        <v>Anthem Inc</v>
      </c>
      <c r="C24">
        <v>-7.0554500967618006E-2</v>
      </c>
      <c r="D24">
        <v>6.3706779895350008E-3</v>
      </c>
      <c r="E24">
        <v>5.5850828743787002E-2</v>
      </c>
      <c r="F24">
        <v>4.6693895717118003E-2</v>
      </c>
      <c r="G24">
        <v>0.28152357320362797</v>
      </c>
      <c r="H24">
        <v>0.93342817914078602</v>
      </c>
      <c r="I24">
        <v>1.73652872878833</v>
      </c>
    </row>
    <row r="25" spans="1:9">
      <c r="A25" s="1" t="s">
        <v>37</v>
      </c>
      <c r="B25" t="str">
        <f>HYPERLINK("https://www.suredividend.com/sure-analysis-AON/","Aon plc.")</f>
        <v>Aon plc.</v>
      </c>
      <c r="C25">
        <v>-3.0512689707945E-2</v>
      </c>
      <c r="D25">
        <v>-7.0827033787330008E-3</v>
      </c>
      <c r="E25">
        <v>9.6494154038550009E-2</v>
      </c>
      <c r="F25">
        <v>1.4883647346373E-2</v>
      </c>
      <c r="G25">
        <v>4.2835585431099013E-2</v>
      </c>
      <c r="H25">
        <v>0.36543706829116201</v>
      </c>
      <c r="I25">
        <v>0.98116889420843412</v>
      </c>
    </row>
    <row r="26" spans="1:9">
      <c r="A26" s="1" t="s">
        <v>38</v>
      </c>
      <c r="B26" t="str">
        <f>HYPERLINK("https://www.suredividend.com/sure-analysis-AOS/","A.O. Smith Corp.")</f>
        <v>A.O. Smith Corp.</v>
      </c>
      <c r="C26">
        <v>-1.3323678493845E-2</v>
      </c>
      <c r="D26">
        <v>0.133989903445245</v>
      </c>
      <c r="E26">
        <v>0.22389148269970999</v>
      </c>
      <c r="F26">
        <v>0.196197031015441</v>
      </c>
      <c r="G26">
        <v>1.6198317522819999E-2</v>
      </c>
      <c r="H26">
        <v>0.15661791543939699</v>
      </c>
      <c r="I26">
        <v>0.20551425897057901</v>
      </c>
    </row>
    <row r="27" spans="1:9">
      <c r="A27" s="1" t="s">
        <v>39</v>
      </c>
      <c r="B27" t="str">
        <f>HYPERLINK("https://www.suredividend.com/sure-analysis-APD/","Air Products &amp; Chemicals Inc.")</f>
        <v>Air Products &amp; Chemicals Inc.</v>
      </c>
      <c r="C27">
        <v>3.4243211002736001E-2</v>
      </c>
      <c r="D27">
        <v>-6.9458816339492011E-2</v>
      </c>
      <c r="E27">
        <v>0.21043044644426301</v>
      </c>
      <c r="F27">
        <v>-4.3729319405696E-2</v>
      </c>
      <c r="G27">
        <v>0.32357318962819298</v>
      </c>
      <c r="H27">
        <v>0.20439396650838401</v>
      </c>
      <c r="I27">
        <v>1.0745801645982791</v>
      </c>
    </row>
    <row r="28" spans="1:9">
      <c r="A28" s="1" t="s">
        <v>40</v>
      </c>
      <c r="B28" t="str">
        <f>HYPERLINK("https://www.suredividend.com/sure-analysis-APH/","Amphenol Corp.")</f>
        <v>Amphenol Corp.</v>
      </c>
      <c r="C28">
        <v>-3.0139671649104999E-2</v>
      </c>
      <c r="D28">
        <v>-1.5447376930922E-2</v>
      </c>
      <c r="E28">
        <v>9.6631280589930008E-2</v>
      </c>
      <c r="F28">
        <v>3.9663777252429012E-2</v>
      </c>
      <c r="G28">
        <v>5.0211408777145007E-2</v>
      </c>
      <c r="H28">
        <v>0.34822810875070798</v>
      </c>
      <c r="I28">
        <v>0.8607362554445811</v>
      </c>
    </row>
    <row r="29" spans="1:9">
      <c r="A29" s="1" t="s">
        <v>41</v>
      </c>
      <c r="B29" t="str">
        <f>HYPERLINK("https://www.suredividend.com/sure-analysis-APOG/","Apogee Enterprises Inc.")</f>
        <v>Apogee Enterprises Inc.</v>
      </c>
      <c r="C29">
        <v>-5.8248387767829996E-3</v>
      </c>
      <c r="D29">
        <v>-6.2837632713820006E-3</v>
      </c>
      <c r="E29">
        <v>0.21744934300023899</v>
      </c>
      <c r="F29">
        <v>8.0661829052368003E-2</v>
      </c>
      <c r="G29">
        <v>8.1894844077197007E-2</v>
      </c>
      <c r="H29">
        <v>0.325283830927171</v>
      </c>
      <c r="I29">
        <v>0.210995504695489</v>
      </c>
    </row>
    <row r="30" spans="1:9">
      <c r="A30" s="1" t="s">
        <v>42</v>
      </c>
      <c r="B30" t="str">
        <f>HYPERLINK("https://www.suredividend.com/sure-analysis-ARE/","Alexandria Real Estate Equities Inc.")</f>
        <v>Alexandria Real Estate Equities Inc.</v>
      </c>
      <c r="C30">
        <v>-0.14279754454973401</v>
      </c>
      <c r="D30">
        <v>-5.3916187090820002E-2</v>
      </c>
      <c r="E30">
        <v>-2.7356815264743001E-2</v>
      </c>
      <c r="F30">
        <v>-1.2631289901832E-2</v>
      </c>
      <c r="G30">
        <v>-0.23804650019495099</v>
      </c>
      <c r="H30">
        <v>-3.8796326802565E-2</v>
      </c>
      <c r="I30">
        <v>0.338262222354552</v>
      </c>
    </row>
    <row r="31" spans="1:9">
      <c r="A31" s="1" t="s">
        <v>43</v>
      </c>
      <c r="B31" t="str">
        <f>HYPERLINK("https://www.suredividend.com/sure-analysis-ASB/","Associated Banc-Corp.")</f>
        <v>Associated Banc-Corp.</v>
      </c>
      <c r="C31">
        <v>-1.3214126978699999E-2</v>
      </c>
      <c r="D31">
        <v>-4.5556193964145002E-2</v>
      </c>
      <c r="E31">
        <v>0.18025312314706801</v>
      </c>
      <c r="F31">
        <v>9.0107412230480011E-3</v>
      </c>
      <c r="G31">
        <v>1.2483940136722001E-2</v>
      </c>
      <c r="H31">
        <v>0.18913351358310801</v>
      </c>
      <c r="I31">
        <v>8.2254125830204E-2</v>
      </c>
    </row>
    <row r="32" spans="1:9">
      <c r="A32" s="1" t="s">
        <v>44</v>
      </c>
      <c r="B32" t="str">
        <f>HYPERLINK("https://www.suredividend.com/sure-analysis-research-database/","Ashland Inc")</f>
        <v>Ashland Inc</v>
      </c>
      <c r="C32">
        <v>-1.2235588671576E-2</v>
      </c>
      <c r="D32">
        <v>-8.415719141538601E-2</v>
      </c>
      <c r="E32">
        <v>5.0304819367426007E-2</v>
      </c>
      <c r="F32">
        <v>-3.2628269124904997E-2</v>
      </c>
      <c r="G32">
        <v>0.19238886045669101</v>
      </c>
      <c r="H32">
        <v>0.25439182322367099</v>
      </c>
      <c r="I32">
        <v>0.57650328894349301</v>
      </c>
    </row>
    <row r="33" spans="1:9">
      <c r="A33" s="1" t="s">
        <v>45</v>
      </c>
      <c r="B33" t="str">
        <f>HYPERLINK("https://www.suredividend.com/sure-analysis-ATO/","Atmos Energy Corp.")</f>
        <v>Atmos Energy Corp.</v>
      </c>
      <c r="C33">
        <v>-3.1930077064307998E-2</v>
      </c>
      <c r="D33">
        <v>-2.6530561137386E-2</v>
      </c>
      <c r="E33">
        <v>-9.6191606581680009E-3</v>
      </c>
      <c r="F33">
        <v>1.2296988342376001E-2</v>
      </c>
      <c r="G33">
        <v>-1.1569537788416E-2</v>
      </c>
      <c r="H33">
        <v>0.31639485539858497</v>
      </c>
      <c r="I33">
        <v>0.56064618754058004</v>
      </c>
    </row>
    <row r="34" spans="1:9">
      <c r="A34" s="1" t="s">
        <v>46</v>
      </c>
      <c r="B34" t="str">
        <f>HYPERLINK("https://www.suredividend.com/sure-analysis-ATR/","Aptargroup Inc.")</f>
        <v>Aptargroup Inc.</v>
      </c>
      <c r="C34">
        <v>4.1847166868826002E-2</v>
      </c>
      <c r="D34">
        <v>0.11658026517504499</v>
      </c>
      <c r="E34">
        <v>0.19409120970128299</v>
      </c>
      <c r="F34">
        <v>9.6985365622257014E-2</v>
      </c>
      <c r="G34">
        <v>1.4749093265779001E-2</v>
      </c>
      <c r="H34">
        <v>-5.3725567036756003E-2</v>
      </c>
      <c r="I34">
        <v>0.42893131385629601</v>
      </c>
    </row>
    <row r="35" spans="1:9">
      <c r="A35" s="1" t="s">
        <v>47</v>
      </c>
      <c r="B35" t="str">
        <f>HYPERLINK("https://www.suredividend.com/sure-analysis-ATRI/","Atrion Corp.")</f>
        <v>Atrion Corp.</v>
      </c>
      <c r="C35">
        <v>-8.1376305091685003E-2</v>
      </c>
      <c r="D35">
        <v>1.5108425168858E-2</v>
      </c>
      <c r="E35">
        <v>4.7624812870538012E-2</v>
      </c>
      <c r="F35">
        <v>0.122906425954061</v>
      </c>
      <c r="G35">
        <v>-0.12102933913148101</v>
      </c>
      <c r="H35">
        <v>3.9099593679159002E-2</v>
      </c>
      <c r="I35">
        <v>0.15652279889526399</v>
      </c>
    </row>
    <row r="36" spans="1:9">
      <c r="A36" s="1" t="s">
        <v>48</v>
      </c>
      <c r="B36" t="str">
        <f>HYPERLINK("https://www.suredividend.com/sure-analysis-research-database/","Atlantic Union Bankshares Corp")</f>
        <v>Atlantic Union Bankshares Corp</v>
      </c>
      <c r="C36">
        <v>-6.6552943832625999E-2</v>
      </c>
      <c r="D36">
        <v>3.4102309708221999E-2</v>
      </c>
      <c r="E36">
        <v>0.18570021955051</v>
      </c>
      <c r="F36">
        <v>6.7063553513766999E-2</v>
      </c>
      <c r="G36">
        <v>-4.8194446673190004E-3</v>
      </c>
      <c r="H36">
        <v>5.3161891445925001E-2</v>
      </c>
      <c r="I36">
        <v>1.0213445259517E-2</v>
      </c>
    </row>
    <row r="37" spans="1:9">
      <c r="A37" s="1" t="s">
        <v>49</v>
      </c>
      <c r="B37" t="str">
        <f>HYPERLINK("https://www.suredividend.com/sure-analysis-AVA/","Avista Corp.")</f>
        <v>Avista Corp.</v>
      </c>
      <c r="C37">
        <v>1.3868985569517E-2</v>
      </c>
      <c r="D37">
        <v>1.5434331741660001E-3</v>
      </c>
      <c r="E37">
        <v>4.5226889487327997E-2</v>
      </c>
      <c r="F37">
        <v>-5.2440883080376997E-2</v>
      </c>
      <c r="G37">
        <v>-6.6892547722615006E-2</v>
      </c>
      <c r="H37">
        <v>0.104245215291921</v>
      </c>
      <c r="I37">
        <v>3.5839084530754003E-2</v>
      </c>
    </row>
    <row r="38" spans="1:9">
      <c r="A38" s="1" t="s">
        <v>50</v>
      </c>
      <c r="B38" t="str">
        <f>HYPERLINK("https://www.suredividend.com/sure-analysis-AVGO/","Broadcom Inc")</f>
        <v>Broadcom Inc</v>
      </c>
      <c r="C38">
        <v>5.8799906294970013E-2</v>
      </c>
      <c r="D38">
        <v>0.179807019997203</v>
      </c>
      <c r="E38">
        <v>0.28621337246422801</v>
      </c>
      <c r="F38">
        <v>0.13168672759465599</v>
      </c>
      <c r="G38">
        <v>8.6831061973897006E-2</v>
      </c>
      <c r="H38">
        <v>0.50358395046033499</v>
      </c>
      <c r="I38">
        <v>1.9802381892118719</v>
      </c>
    </row>
    <row r="39" spans="1:9">
      <c r="A39" s="1" t="s">
        <v>51</v>
      </c>
      <c r="B39" t="str">
        <f>HYPERLINK("https://www.suredividend.com/sure-analysis-AVNT/","Avient Corp")</f>
        <v>Avient Corp</v>
      </c>
      <c r="C39">
        <v>7.2964484174921004E-2</v>
      </c>
      <c r="D39">
        <v>0.25501965472123</v>
      </c>
      <c r="E39">
        <v>5.2731388747318003E-2</v>
      </c>
      <c r="F39">
        <v>0.31546208530805597</v>
      </c>
      <c r="G39">
        <v>-9.4656413852715005E-2</v>
      </c>
      <c r="H39">
        <v>2.3689384841282999E-2</v>
      </c>
      <c r="I39">
        <v>0.131756197136078</v>
      </c>
    </row>
    <row r="40" spans="1:9">
      <c r="A40" s="1" t="s">
        <v>52</v>
      </c>
      <c r="B40" t="str">
        <f>HYPERLINK("https://www.suredividend.com/sure-analysis-AVY/","Avery Dennison Corp.")</f>
        <v>Avery Dennison Corp.</v>
      </c>
      <c r="C40">
        <v>1.5944335582490001E-2</v>
      </c>
      <c r="D40">
        <v>-4.0428360568216012E-2</v>
      </c>
      <c r="E40">
        <v>-3.5936501310930001E-3</v>
      </c>
      <c r="F40">
        <v>1.7067065512144999E-2</v>
      </c>
      <c r="G40">
        <v>0.10277133480265201</v>
      </c>
      <c r="H40">
        <v>8.4132797249485011E-2</v>
      </c>
      <c r="I40">
        <v>0.70702933319428507</v>
      </c>
    </row>
    <row r="41" spans="1:9">
      <c r="A41" s="1" t="s">
        <v>53</v>
      </c>
      <c r="B41" t="str">
        <f>HYPERLINK("https://www.suredividend.com/sure-analysis-AWK/","American Water Works Co. Inc.")</f>
        <v>American Water Works Co. Inc.</v>
      </c>
      <c r="C41">
        <v>-0.104228783944086</v>
      </c>
      <c r="D41">
        <v>-8.750661345421501E-2</v>
      </c>
      <c r="E41">
        <v>-4.8402071581689E-2</v>
      </c>
      <c r="F41">
        <v>-7.9604038673760008E-2</v>
      </c>
      <c r="G41">
        <v>-0.117167149265106</v>
      </c>
      <c r="H41">
        <v>6.9067745376683004E-2</v>
      </c>
      <c r="I41">
        <v>0.92789905923493998</v>
      </c>
    </row>
    <row r="42" spans="1:9">
      <c r="A42" s="1" t="s">
        <v>54</v>
      </c>
      <c r="B42" t="str">
        <f>HYPERLINK("https://www.suredividend.com/sure-analysis-AWR/","American States Water Co.")</f>
        <v>American States Water Co.</v>
      </c>
      <c r="C42">
        <v>-0.105547452143711</v>
      </c>
      <c r="D42">
        <v>-0.10800686589210499</v>
      </c>
      <c r="E42">
        <v>6.1478083885983012E-2</v>
      </c>
      <c r="F42">
        <v>-5.3745518313062013E-2</v>
      </c>
      <c r="G42">
        <v>7.4274669553390004E-3</v>
      </c>
      <c r="H42">
        <v>0.27769499134771902</v>
      </c>
      <c r="I42">
        <v>0.84911477871058105</v>
      </c>
    </row>
    <row r="43" spans="1:9">
      <c r="A43" s="1" t="s">
        <v>55</v>
      </c>
      <c r="B43" t="str">
        <f>HYPERLINK("https://www.suredividend.com/sure-analysis-AXS/","Axis Capital Holdings Ltd")</f>
        <v>Axis Capital Holdings Ltd</v>
      </c>
      <c r="C43">
        <v>5.1435208229630002E-3</v>
      </c>
      <c r="D43">
        <v>6.3727048131101999E-2</v>
      </c>
      <c r="E43">
        <v>0.15038567733751601</v>
      </c>
      <c r="F43">
        <v>0.118331179619715</v>
      </c>
      <c r="G43">
        <v>0.166419891906878</v>
      </c>
      <c r="H43">
        <v>0.31568659815308697</v>
      </c>
      <c r="I43">
        <v>0.47951321133495611</v>
      </c>
    </row>
    <row r="44" spans="1:9">
      <c r="A44" s="1" t="s">
        <v>56</v>
      </c>
      <c r="B44" t="str">
        <f>HYPERLINK("https://www.suredividend.com/sure-analysis-BANF/","Bancfirst Corp.")</f>
        <v>Bancfirst Corp.</v>
      </c>
      <c r="C44">
        <v>4.8206800186306013E-2</v>
      </c>
      <c r="D44">
        <v>-0.11393713304231</v>
      </c>
      <c r="E44">
        <v>-0.14063036986688399</v>
      </c>
      <c r="F44">
        <v>2.0866409616693001E-2</v>
      </c>
      <c r="G44">
        <v>0.18335572446031201</v>
      </c>
      <c r="H44">
        <v>0.39013286717606199</v>
      </c>
      <c r="I44">
        <v>0.84269727320924503</v>
      </c>
    </row>
    <row r="45" spans="1:9">
      <c r="A45" s="1" t="s">
        <v>57</v>
      </c>
      <c r="B45" t="str">
        <f>HYPERLINK("https://www.suredividend.com/sure-analysis-BBY/","Best Buy Co. Inc.")</f>
        <v>Best Buy Co. Inc.</v>
      </c>
      <c r="C45">
        <v>-7.8166519043401009E-2</v>
      </c>
      <c r="D45">
        <v>-2.8114184326793999E-2</v>
      </c>
      <c r="E45">
        <v>0.19760479041916101</v>
      </c>
      <c r="F45">
        <v>3.8025183892282002E-2</v>
      </c>
      <c r="G45">
        <v>-0.179886232116033</v>
      </c>
      <c r="H45">
        <v>-9.1429912100263008E-2</v>
      </c>
      <c r="I45">
        <v>0.32429896136533498</v>
      </c>
    </row>
    <row r="46" spans="1:9">
      <c r="A46" s="1" t="s">
        <v>58</v>
      </c>
      <c r="B46" t="str">
        <f>HYPERLINK("https://www.suredividend.com/sure-analysis-research-database/","Balchem Corp.")</f>
        <v>Balchem Corp.</v>
      </c>
      <c r="C46">
        <v>-5.0918973038689003E-2</v>
      </c>
      <c r="D46">
        <v>-5.3818485154197002E-2</v>
      </c>
      <c r="E46">
        <v>3.3183155478844012E-2</v>
      </c>
      <c r="F46">
        <v>8.6806977315535008E-2</v>
      </c>
      <c r="G46">
        <v>-5.2407823793981012E-2</v>
      </c>
      <c r="H46">
        <v>0.101056420118858</v>
      </c>
      <c r="I46">
        <v>0.76993392922398207</v>
      </c>
    </row>
    <row r="47" spans="1:9">
      <c r="A47" s="1" t="s">
        <v>59</v>
      </c>
      <c r="B47" t="str">
        <f>HYPERLINK("https://www.suredividend.com/sure-analysis-BDX/","Becton, Dickinson And Co.")</f>
        <v>Becton, Dickinson And Co.</v>
      </c>
      <c r="C47">
        <v>-3.5063455906280003E-2</v>
      </c>
      <c r="D47">
        <v>-5.6585014328995008E-2</v>
      </c>
      <c r="E47">
        <v>-5.5127017344844001E-2</v>
      </c>
      <c r="F47">
        <v>-6.7164766024379999E-2</v>
      </c>
      <c r="G47">
        <v>-0.10526303878651901</v>
      </c>
      <c r="H47">
        <v>3.7052710361432997E-2</v>
      </c>
      <c r="I47">
        <v>0.18882061597966901</v>
      </c>
    </row>
    <row r="48" spans="1:9">
      <c r="A48" s="1" t="s">
        <v>60</v>
      </c>
      <c r="B48" t="str">
        <f>HYPERLINK("https://www.suredividend.com/sure-analysis-BEN/","Franklin Resources, Inc.")</f>
        <v>Franklin Resources, Inc.</v>
      </c>
      <c r="C48">
        <v>-0.110610159302675</v>
      </c>
      <c r="D48">
        <v>9.8468677494199006E-2</v>
      </c>
      <c r="E48">
        <v>0.17090736417237101</v>
      </c>
      <c r="F48">
        <v>0.121683093252463</v>
      </c>
      <c r="G48">
        <v>9.8770520718452007E-2</v>
      </c>
      <c r="H48">
        <v>0.25334620988783801</v>
      </c>
      <c r="I48">
        <v>-6.853316796308101E-2</v>
      </c>
    </row>
    <row r="49" spans="1:9">
      <c r="A49" s="1" t="s">
        <v>61</v>
      </c>
      <c r="B49" t="str">
        <f>HYPERLINK("https://www.suredividend.com/sure-analysis-BIP/","Brookfield Infrastructure Partners L.P")</f>
        <v>Brookfield Infrastructure Partners L.P</v>
      </c>
      <c r="C49">
        <v>-2.5467060265186001E-2</v>
      </c>
      <c r="D49">
        <v>-3.7597770797214013E-2</v>
      </c>
      <c r="E49">
        <v>-0.16578632821993</v>
      </c>
      <c r="F49">
        <v>9.7803739842704004E-2</v>
      </c>
      <c r="G49">
        <v>-0.106635436086192</v>
      </c>
      <c r="H49">
        <v>5.7715284677591003E-2</v>
      </c>
      <c r="I49">
        <v>0.69935036724961808</v>
      </c>
    </row>
    <row r="50" spans="1:9">
      <c r="A50" s="1" t="s">
        <v>62</v>
      </c>
      <c r="B50" t="str">
        <f>HYPERLINK("https://www.suredividend.com/sure-analysis-BK/","Bank Of New York Mellon Corp")</f>
        <v>Bank Of New York Mellon Corp</v>
      </c>
      <c r="C50">
        <v>2.1899263388412998E-2</v>
      </c>
      <c r="D50">
        <v>0.143767547573421</v>
      </c>
      <c r="E50">
        <v>0.26909954012757697</v>
      </c>
      <c r="F50">
        <v>0.136230318511943</v>
      </c>
      <c r="G50">
        <v>4.1833692248050003E-2</v>
      </c>
      <c r="H50">
        <v>0.215060788546756</v>
      </c>
      <c r="I50">
        <v>6.409443138425501E-2</v>
      </c>
    </row>
    <row r="51" spans="1:9">
      <c r="A51" s="1" t="s">
        <v>63</v>
      </c>
      <c r="B51" t="str">
        <f>HYPERLINK("https://www.suredividend.com/sure-analysis-BKH/","Black Hills Corporation")</f>
        <v>Black Hills Corporation</v>
      </c>
      <c r="C51">
        <v>-0.126022821372931</v>
      </c>
      <c r="D51">
        <v>-0.114952428870715</v>
      </c>
      <c r="E51">
        <v>-0.16264934680732299</v>
      </c>
      <c r="F51">
        <v>-0.106018689334675</v>
      </c>
      <c r="G51">
        <v>-0.114389779429437</v>
      </c>
      <c r="H51">
        <v>0.113495341809273</v>
      </c>
      <c r="I51">
        <v>0.42882383040432398</v>
      </c>
    </row>
    <row r="52" spans="1:9">
      <c r="A52" s="1" t="s">
        <v>64</v>
      </c>
      <c r="B52" t="str">
        <f>HYPERLINK("https://www.suredividend.com/sure-analysis-BLK/","Blackrock Inc.")</f>
        <v>Blackrock Inc.</v>
      </c>
      <c r="C52">
        <v>-8.1779280469121002E-2</v>
      </c>
      <c r="D52">
        <v>-1.8159196778413999E-2</v>
      </c>
      <c r="E52">
        <v>6.3782744973831004E-2</v>
      </c>
      <c r="F52">
        <v>-1.8895615483397001E-2</v>
      </c>
      <c r="G52">
        <v>1.2137379553555001E-2</v>
      </c>
      <c r="H52">
        <v>5.3076899424370001E-2</v>
      </c>
      <c r="I52">
        <v>0.44778748235662502</v>
      </c>
    </row>
    <row r="53" spans="1:9">
      <c r="A53" s="1" t="s">
        <v>65</v>
      </c>
      <c r="B53" t="str">
        <f>HYPERLINK("https://www.suredividend.com/sure-analysis-BMI/","Badger Meter Inc.")</f>
        <v>Badger Meter Inc.</v>
      </c>
      <c r="C53">
        <v>2.4421574680887001E-2</v>
      </c>
      <c r="D53">
        <v>7.5789393170297009E-2</v>
      </c>
      <c r="E53">
        <v>0.32161459723696301</v>
      </c>
      <c r="F53">
        <v>0.13735879502638701</v>
      </c>
      <c r="G53">
        <v>0.27898962196592603</v>
      </c>
      <c r="H53">
        <v>0.28553474797203898</v>
      </c>
      <c r="I53">
        <v>1.69492304108032</v>
      </c>
    </row>
    <row r="54" spans="1:9">
      <c r="A54" s="1" t="s">
        <v>66</v>
      </c>
      <c r="B54" t="str">
        <f>HYPERLINK("https://www.suredividend.com/sure-analysis-BMRC/","Bank of Marin Bancorp")</f>
        <v>Bank of Marin Bancorp</v>
      </c>
      <c r="C54">
        <v>-1.9954940457032E-2</v>
      </c>
      <c r="D54">
        <v>-0.13197166436237601</v>
      </c>
      <c r="E54">
        <v>1.5907544072705001E-2</v>
      </c>
      <c r="F54">
        <v>-6.6237350505979009E-2</v>
      </c>
      <c r="G54">
        <v>-0.10395319957860701</v>
      </c>
      <c r="H54">
        <v>-0.159891075532551</v>
      </c>
      <c r="I54">
        <v>2.8521180104989999E-3</v>
      </c>
    </row>
    <row r="55" spans="1:9">
      <c r="A55" s="1" t="s">
        <v>67</v>
      </c>
      <c r="B55" t="str">
        <f>HYPERLINK("https://www.suredividend.com/sure-analysis-BMY/","Bristol-Myers Squibb Co.")</f>
        <v>Bristol-Myers Squibb Co.</v>
      </c>
      <c r="C55">
        <v>-6.9173942243116002E-2</v>
      </c>
      <c r="D55">
        <v>-0.13905770922264199</v>
      </c>
      <c r="E55">
        <v>2.5800435188062999E-2</v>
      </c>
      <c r="F55">
        <v>-2.921189656694E-2</v>
      </c>
      <c r="G55">
        <v>2.9295563780678002E-2</v>
      </c>
      <c r="H55">
        <v>0.24218703787684601</v>
      </c>
      <c r="I55">
        <v>0.21269391290652701</v>
      </c>
    </row>
    <row r="56" spans="1:9">
      <c r="A56" s="1" t="s">
        <v>68</v>
      </c>
      <c r="B56" t="str">
        <f>HYPERLINK("https://www.suredividend.com/sure-analysis-BOKF/","BOK Financial Corp.")</f>
        <v>BOK Financial Corp.</v>
      </c>
      <c r="C56">
        <v>7.3026285774190009E-3</v>
      </c>
      <c r="D56">
        <v>-9.0604552382180011E-3</v>
      </c>
      <c r="E56">
        <v>0.19089562190641901</v>
      </c>
      <c r="F56">
        <v>5.0703897952950007E-3</v>
      </c>
      <c r="G56">
        <v>6.0222302369229007E-2</v>
      </c>
      <c r="H56">
        <v>0.188751026711099</v>
      </c>
      <c r="I56">
        <v>0.22480486569873601</v>
      </c>
    </row>
    <row r="57" spans="1:9">
      <c r="A57" s="1" t="s">
        <v>69</v>
      </c>
      <c r="B57" t="str">
        <f>HYPERLINK("https://www.suredividend.com/sure-analysis-BR/","Broadridge Financial Solutions, Inc.")</f>
        <v>Broadridge Financial Solutions, Inc.</v>
      </c>
      <c r="C57">
        <v>-6.1661674697226013E-2</v>
      </c>
      <c r="D57">
        <v>-2.7900228066707999E-2</v>
      </c>
      <c r="E57">
        <v>-0.12626715817044101</v>
      </c>
      <c r="F57">
        <v>7.440542757026701E-2</v>
      </c>
      <c r="G57">
        <v>-4.3347469278840001E-3</v>
      </c>
      <c r="H57">
        <v>7.062913112699401E-2</v>
      </c>
      <c r="I57">
        <v>0.53113535211013208</v>
      </c>
    </row>
    <row r="58" spans="1:9">
      <c r="A58" s="1" t="s">
        <v>70</v>
      </c>
      <c r="B58" t="str">
        <f>HYPERLINK("https://www.suredividend.com/sure-analysis-BRC/","Brady Corp.")</f>
        <v>Brady Corp.</v>
      </c>
      <c r="C58">
        <v>2.4100785101332001E-2</v>
      </c>
      <c r="D58">
        <v>0.17687788501888299</v>
      </c>
      <c r="E58">
        <v>0.24371104395007401</v>
      </c>
      <c r="F58">
        <v>0.196617300069548</v>
      </c>
      <c r="G58">
        <v>0.23942653596966501</v>
      </c>
      <c r="H58">
        <v>8.5187929630138007E-2</v>
      </c>
      <c r="I58">
        <v>0.63295369852804206</v>
      </c>
    </row>
    <row r="59" spans="1:9">
      <c r="A59" s="1" t="s">
        <v>71</v>
      </c>
      <c r="B59" t="str">
        <f>HYPERLINK("https://www.suredividend.com/sure-analysis-BRO/","Brown &amp; Brown, Inc.")</f>
        <v>Brown &amp; Brown, Inc.</v>
      </c>
      <c r="C59">
        <v>-2.7915738996403001E-2</v>
      </c>
      <c r="D59">
        <v>-4.4489485344125002E-2</v>
      </c>
      <c r="E59">
        <v>-9.3918912447281011E-2</v>
      </c>
      <c r="F59">
        <v>-1.7200806221829999E-3</v>
      </c>
      <c r="G59">
        <v>-0.16426788777395701</v>
      </c>
      <c r="H59">
        <v>0.280882445862632</v>
      </c>
      <c r="I59">
        <v>1.2651719830630901</v>
      </c>
    </row>
    <row r="60" spans="1:9">
      <c r="A60" s="1" t="s">
        <v>72</v>
      </c>
      <c r="B60" t="str">
        <f>HYPERLINK("https://www.suredividend.com/sure-analysis-CAH/","Cardinal Health, Inc.")</f>
        <v>Cardinal Health, Inc.</v>
      </c>
      <c r="C60">
        <v>-4.4108300495741007E-2</v>
      </c>
      <c r="D60">
        <v>-6.4258792172126003E-2</v>
      </c>
      <c r="E60">
        <v>7.395739016929101E-2</v>
      </c>
      <c r="F60">
        <v>-2.1724990243267E-2</v>
      </c>
      <c r="G60">
        <v>0.43725118066744201</v>
      </c>
      <c r="H60">
        <v>0.54043750883395802</v>
      </c>
      <c r="I60">
        <v>0.30916712945956798</v>
      </c>
    </row>
    <row r="61" spans="1:9">
      <c r="A61" s="1" t="s">
        <v>73</v>
      </c>
      <c r="B61" t="str">
        <f>HYPERLINK("https://www.suredividend.com/sure-analysis-CASS/","Cass Information Systems Inc")</f>
        <v>Cass Information Systems Inc</v>
      </c>
      <c r="C61">
        <v>-3.5315746295947997E-2</v>
      </c>
      <c r="D61">
        <v>0.13038845521299</v>
      </c>
      <c r="E61">
        <v>0.37359157605559601</v>
      </c>
      <c r="F61">
        <v>7.1425434937251009E-2</v>
      </c>
      <c r="G61">
        <v>0.26605923496813999</v>
      </c>
      <c r="H61">
        <v>0.15739093724948799</v>
      </c>
      <c r="I61">
        <v>-9.1217210260306006E-2</v>
      </c>
    </row>
    <row r="62" spans="1:9">
      <c r="A62" s="1" t="s">
        <v>74</v>
      </c>
      <c r="B62" t="str">
        <f>HYPERLINK("https://www.suredividend.com/sure-analysis-CASY/","Casey`s General Stores, Inc.")</f>
        <v>Casey`s General Stores, Inc.</v>
      </c>
      <c r="C62">
        <v>-4.7367950665832013E-2</v>
      </c>
      <c r="D62">
        <v>-8.7936789629912013E-2</v>
      </c>
      <c r="E62">
        <v>3.0178047658159998E-3</v>
      </c>
      <c r="F62">
        <v>-4.8218166005073997E-2</v>
      </c>
      <c r="G62">
        <v>0.12729532144415201</v>
      </c>
      <c r="H62">
        <v>9.4544784276919008E-2</v>
      </c>
      <c r="I62">
        <v>0.98179588748069813</v>
      </c>
    </row>
    <row r="63" spans="1:9">
      <c r="A63" s="1" t="s">
        <v>75</v>
      </c>
      <c r="B63" t="str">
        <f>HYPERLINK("https://www.suredividend.com/sure-analysis-CAT/","Caterpillar Inc.")</f>
        <v>Caterpillar Inc.</v>
      </c>
      <c r="C63">
        <v>3.0473038424281E-2</v>
      </c>
      <c r="D63">
        <v>8.6383001176124005E-2</v>
      </c>
      <c r="E63">
        <v>0.42810396279132201</v>
      </c>
      <c r="F63">
        <v>7.0828347444813006E-2</v>
      </c>
      <c r="G63">
        <v>0.33542767056765699</v>
      </c>
      <c r="H63">
        <v>0.25310872169756399</v>
      </c>
      <c r="I63">
        <v>0.96354547202461005</v>
      </c>
    </row>
    <row r="64" spans="1:9">
      <c r="A64" s="1" t="s">
        <v>76</v>
      </c>
      <c r="B64" t="str">
        <f>HYPERLINK("https://www.suredividend.com/sure-analysis-CB/","Chubb Limited")</f>
        <v>Chubb Limited</v>
      </c>
      <c r="C64">
        <v>-1.3057567670606E-2</v>
      </c>
      <c r="D64">
        <v>-5.1396796460258007E-2</v>
      </c>
      <c r="E64">
        <v>9.3841687146488009E-2</v>
      </c>
      <c r="F64">
        <v>-6.1196736174070003E-2</v>
      </c>
      <c r="G64">
        <v>2.4055665905671E-2</v>
      </c>
      <c r="H64">
        <v>0.29064342719113301</v>
      </c>
      <c r="I64">
        <v>0.63847010721654707</v>
      </c>
    </row>
    <row r="65" spans="1:9">
      <c r="A65" s="1" t="s">
        <v>77</v>
      </c>
      <c r="B65" t="str">
        <f>HYPERLINK("https://www.suredividend.com/sure-analysis-CBOE/","Cboe Global Markets Inc.")</f>
        <v>Cboe Global Markets Inc.</v>
      </c>
      <c r="C65">
        <v>2.1239948974356999E-2</v>
      </c>
      <c r="D65">
        <v>-1.1148728988572E-2</v>
      </c>
      <c r="E65">
        <v>6.3436006238779E-2</v>
      </c>
      <c r="F65">
        <v>1.1390848436988E-2</v>
      </c>
      <c r="G65">
        <v>6.6260664926256999E-2</v>
      </c>
      <c r="H65">
        <v>0.32875174489984599</v>
      </c>
      <c r="I65">
        <v>0.194721337225951</v>
      </c>
    </row>
    <row r="66" spans="1:9">
      <c r="A66" s="1" t="s">
        <v>78</v>
      </c>
      <c r="B66" t="str">
        <f>HYPERLINK("https://www.suredividend.com/sure-analysis-CBSH/","Commerce Bancshares, Inc.")</f>
        <v>Commerce Bancshares, Inc.</v>
      </c>
      <c r="C66">
        <v>-2.6253687315633999E-2</v>
      </c>
      <c r="D66">
        <v>-6.5402038505096002E-2</v>
      </c>
      <c r="E66">
        <v>1.3613620068382E-2</v>
      </c>
      <c r="F66">
        <v>-3.0116057000145999E-2</v>
      </c>
      <c r="G66">
        <v>6.7277839789680006E-3</v>
      </c>
      <c r="H66">
        <v>-7.8372143699790009E-3</v>
      </c>
      <c r="I66">
        <v>0.39104857502855001</v>
      </c>
    </row>
    <row r="67" spans="1:9">
      <c r="A67" s="1" t="s">
        <v>79</v>
      </c>
      <c r="B67" t="str">
        <f>HYPERLINK("https://www.suredividend.com/sure-analysis-research-database/","Cabot Corp.")</f>
        <v>Cabot Corp.</v>
      </c>
      <c r="C67">
        <v>0.106634249840605</v>
      </c>
      <c r="D67">
        <v>0.12049995245308499</v>
      </c>
      <c r="E67">
        <v>0.20968150066441299</v>
      </c>
      <c r="F67">
        <v>0.25762905504945699</v>
      </c>
      <c r="G67">
        <v>0.18723249662250299</v>
      </c>
      <c r="H67">
        <v>0.7889906295040171</v>
      </c>
      <c r="I67">
        <v>0.59256523692406105</v>
      </c>
    </row>
    <row r="68" spans="1:9">
      <c r="A68" s="1" t="s">
        <v>80</v>
      </c>
      <c r="B68" t="str">
        <f>HYPERLINK("https://www.suredividend.com/sure-analysis-CBU/","Community Bank System, Inc.")</f>
        <v>Community Bank System, Inc.</v>
      </c>
      <c r="C68">
        <v>-4.5897968974891998E-2</v>
      </c>
      <c r="D68">
        <v>-7.8387997726093006E-2</v>
      </c>
      <c r="E68">
        <v>-6.621631351090701E-2</v>
      </c>
      <c r="F68">
        <v>-5.2263701350277997E-2</v>
      </c>
      <c r="G68">
        <v>-0.15512026011986299</v>
      </c>
      <c r="H68">
        <v>-0.14382849016177701</v>
      </c>
      <c r="I68">
        <v>0.24669310787259699</v>
      </c>
    </row>
    <row r="69" spans="1:9">
      <c r="A69" s="1" t="s">
        <v>81</v>
      </c>
      <c r="B69" t="str">
        <f>HYPERLINK("https://www.suredividend.com/sure-analysis-CE/","Celanese Corp")</f>
        <v>Celanese Corp</v>
      </c>
      <c r="C69">
        <v>-1.488066603808E-3</v>
      </c>
      <c r="D69">
        <v>0.14804572271386399</v>
      </c>
      <c r="E69">
        <v>0.18062277045352601</v>
      </c>
      <c r="F69">
        <v>0.22518807237010999</v>
      </c>
      <c r="G69">
        <v>-0.118654047298569</v>
      </c>
      <c r="H69">
        <v>-9.5842574677929004E-2</v>
      </c>
      <c r="I69">
        <v>0.327664764114034</v>
      </c>
    </row>
    <row r="70" spans="1:9">
      <c r="A70" s="1" t="s">
        <v>82</v>
      </c>
      <c r="B70" t="str">
        <f>HYPERLINK("https://www.suredividend.com/sure-analysis-CFR/","Cullen Frost Bankers Inc.")</f>
        <v>Cullen Frost Bankers Inc.</v>
      </c>
      <c r="C70">
        <v>3.0104638625924E-2</v>
      </c>
      <c r="D70">
        <v>-5.8959667565030002E-2</v>
      </c>
      <c r="E70">
        <v>2.0239678782286E-2</v>
      </c>
      <c r="F70">
        <v>-4.4121190218040004E-3</v>
      </c>
      <c r="G70">
        <v>2.4494548806769999E-3</v>
      </c>
      <c r="H70">
        <v>0.28809590143333902</v>
      </c>
      <c r="I70">
        <v>0.42150238708768811</v>
      </c>
    </row>
    <row r="71" spans="1:9">
      <c r="A71" s="1" t="s">
        <v>83</v>
      </c>
      <c r="B71" t="str">
        <f>HYPERLINK("https://www.suredividend.com/sure-analysis-research-database/","City Holding Co.")</f>
        <v>City Holding Co.</v>
      </c>
      <c r="C71">
        <v>-2.1937293398777001E-2</v>
      </c>
      <c r="D71">
        <v>-3.0533623524551998E-2</v>
      </c>
      <c r="E71">
        <v>0.17601148550340601</v>
      </c>
      <c r="F71">
        <v>5.6321267066230002E-2</v>
      </c>
      <c r="G71">
        <v>0.26340524201896398</v>
      </c>
      <c r="H71">
        <v>0.31450873534404811</v>
      </c>
      <c r="I71">
        <v>0.64166506938910006</v>
      </c>
    </row>
    <row r="72" spans="1:9">
      <c r="A72" s="1" t="s">
        <v>84</v>
      </c>
      <c r="B72" t="str">
        <f>HYPERLINK("https://www.suredividend.com/sure-analysis-CHD/","Church &amp; Dwight Co., Inc.")</f>
        <v>Church &amp; Dwight Co., Inc.</v>
      </c>
      <c r="C72">
        <v>1.9253507541531999E-2</v>
      </c>
      <c r="D72">
        <v>1.7168185413986001E-2</v>
      </c>
      <c r="E72">
        <v>7.305416150375001E-3</v>
      </c>
      <c r="F72">
        <v>4.8208636084165001E-2</v>
      </c>
      <c r="G72">
        <v>-0.15305371300769499</v>
      </c>
      <c r="H72">
        <v>0.106966449269076</v>
      </c>
      <c r="I72">
        <v>0.79341831237249905</v>
      </c>
    </row>
    <row r="73" spans="1:9">
      <c r="A73" s="1" t="s">
        <v>85</v>
      </c>
      <c r="B73" t="str">
        <f>HYPERLINK("https://www.suredividend.com/sure-analysis-research-database/","Churchill Downs, Inc.")</f>
        <v>Churchill Downs, Inc.</v>
      </c>
      <c r="C73">
        <v>-1.1394876289891999E-2</v>
      </c>
      <c r="D73">
        <v>0.11403941992547</v>
      </c>
      <c r="E73">
        <v>0.27761655747395098</v>
      </c>
      <c r="F73">
        <v>0.17357990824386299</v>
      </c>
      <c r="G73">
        <v>9.6562751071902014E-2</v>
      </c>
      <c r="H73">
        <v>0.100759436617718</v>
      </c>
      <c r="I73">
        <v>1.880820882439334</v>
      </c>
    </row>
    <row r="74" spans="1:9">
      <c r="A74" s="1" t="s">
        <v>86</v>
      </c>
      <c r="B74" t="str">
        <f>HYPERLINK("https://www.suredividend.com/sure-analysis-CHE/","Chemed Corp.")</f>
        <v>Chemed Corp.</v>
      </c>
      <c r="C74">
        <v>2.3350556633783E-2</v>
      </c>
      <c r="D74">
        <v>-4.259032423447E-3</v>
      </c>
      <c r="E74">
        <v>0.109704981649265</v>
      </c>
      <c r="F74">
        <v>2.2408364973985E-2</v>
      </c>
      <c r="G74">
        <v>7.7305801725986001E-2</v>
      </c>
      <c r="H74">
        <v>0.24849229496288799</v>
      </c>
      <c r="I74">
        <v>1.0072517879275431</v>
      </c>
    </row>
    <row r="75" spans="1:9">
      <c r="A75" s="1" t="s">
        <v>87</v>
      </c>
      <c r="B75" t="str">
        <f>HYPERLINK("https://www.suredividend.com/sure-analysis-CHRW/","C.H. Robinson Worldwide, Inc.")</f>
        <v>C.H. Robinson Worldwide, Inc.</v>
      </c>
      <c r="C75">
        <v>3.6142090045434998E-2</v>
      </c>
      <c r="D75">
        <v>2.2220094153459002E-2</v>
      </c>
      <c r="E75">
        <v>-0.15145733861706301</v>
      </c>
      <c r="F75">
        <v>9.5893403232852004E-2</v>
      </c>
      <c r="G75">
        <v>5.9052130400410997E-2</v>
      </c>
      <c r="H75">
        <v>0.17049794573760901</v>
      </c>
      <c r="I75">
        <v>0.21867978381004399</v>
      </c>
    </row>
    <row r="76" spans="1:9">
      <c r="A76" s="1" t="s">
        <v>88</v>
      </c>
      <c r="B76" t="str">
        <f>HYPERLINK("https://www.suredividend.com/sure-analysis-CINF/","Cincinnati Financial Corp.")</f>
        <v>Cincinnati Financial Corp.</v>
      </c>
      <c r="C76">
        <v>5.1689688124402007E-2</v>
      </c>
      <c r="D76">
        <v>0.10361450615848899</v>
      </c>
      <c r="E76">
        <v>0.26724854443325502</v>
      </c>
      <c r="F76">
        <v>0.18234202558843601</v>
      </c>
      <c r="G76">
        <v>7.1078219317560008E-3</v>
      </c>
      <c r="H76">
        <v>0.26977933572059398</v>
      </c>
      <c r="I76">
        <v>0.84764625800504212</v>
      </c>
    </row>
    <row r="77" spans="1:9">
      <c r="A77" s="1" t="s">
        <v>89</v>
      </c>
      <c r="B77" t="str">
        <f>HYPERLINK("https://www.suredividend.com/sure-analysis-CL/","Colgate-Palmolive Co.")</f>
        <v>Colgate-Palmolive Co.</v>
      </c>
      <c r="C77">
        <v>-4.5766590389010008E-3</v>
      </c>
      <c r="D77">
        <v>-4.8034664668762002E-2</v>
      </c>
      <c r="E77">
        <v>-4.1758344282815003E-2</v>
      </c>
      <c r="F77">
        <v>-5.5526606179499012E-2</v>
      </c>
      <c r="G77">
        <v>-2.0105396641989001E-2</v>
      </c>
      <c r="H77">
        <v>4.1443684584098001E-2</v>
      </c>
      <c r="I77">
        <v>0.195899495927149</v>
      </c>
    </row>
    <row r="78" spans="1:9">
      <c r="A78" s="1" t="s">
        <v>90</v>
      </c>
      <c r="B78" t="str">
        <f>HYPERLINK("https://www.suredividend.com/sure-analysis-CLX/","Clorox Co.")</f>
        <v>Clorox Co.</v>
      </c>
      <c r="C78">
        <v>6.8488725205140006E-3</v>
      </c>
      <c r="D78">
        <v>4.2791734756289002E-2</v>
      </c>
      <c r="E78">
        <v>0.109398527019474</v>
      </c>
      <c r="F78">
        <v>0.119702466535748</v>
      </c>
      <c r="G78">
        <v>0.112197559060738</v>
      </c>
      <c r="H78">
        <v>-7.2768870548823E-2</v>
      </c>
      <c r="I78">
        <v>0.35199150439529497</v>
      </c>
    </row>
    <row r="79" spans="1:9">
      <c r="A79" s="1" t="s">
        <v>91</v>
      </c>
      <c r="B79" t="str">
        <f>HYPERLINK("https://www.suredividend.com/sure-analysis-CMCSA/","Comcast Corp")</f>
        <v>Comcast Corp</v>
      </c>
      <c r="C79">
        <v>-6.8551413560169999E-2</v>
      </c>
      <c r="D79">
        <v>3.8204127161182003E-2</v>
      </c>
      <c r="E79">
        <v>5.0365638965376998E-2</v>
      </c>
      <c r="F79">
        <v>6.4626822991135008E-2</v>
      </c>
      <c r="G79">
        <v>-0.198363567852721</v>
      </c>
      <c r="H79">
        <v>-0.28712575538245899</v>
      </c>
      <c r="I79">
        <v>0.11900596923409799</v>
      </c>
    </row>
    <row r="80" spans="1:9">
      <c r="A80" s="1" t="s">
        <v>92</v>
      </c>
      <c r="B80" t="str">
        <f>HYPERLINK("https://www.suredividend.com/sure-analysis-CME/","CME Group Inc")</f>
        <v>CME Group Inc</v>
      </c>
      <c r="C80">
        <v>4.9504389691305002E-2</v>
      </c>
      <c r="D80">
        <v>8.3144128492495001E-2</v>
      </c>
      <c r="E80">
        <v>-1.2401874459003001E-2</v>
      </c>
      <c r="F80">
        <v>0.101867269267364</v>
      </c>
      <c r="G80">
        <v>-0.20369491746860099</v>
      </c>
      <c r="H80">
        <v>-4.6353430302069003E-2</v>
      </c>
      <c r="I80">
        <v>0.292954864856943</v>
      </c>
    </row>
    <row r="81" spans="1:9">
      <c r="A81" s="1" t="s">
        <v>93</v>
      </c>
      <c r="B81" t="str">
        <f>HYPERLINK("https://www.suredividend.com/sure-analysis-CMI/","Cummins Inc.")</f>
        <v>Cummins Inc.</v>
      </c>
      <c r="C81">
        <v>1.3980642187738999E-2</v>
      </c>
      <c r="D81">
        <v>3.9802273978188002E-2</v>
      </c>
      <c r="E81">
        <v>0.22765988217205299</v>
      </c>
      <c r="F81">
        <v>7.1817059277223011E-2</v>
      </c>
      <c r="G81">
        <v>0.31166172281781002</v>
      </c>
      <c r="H81">
        <v>4.9878803807000001E-2</v>
      </c>
      <c r="I81">
        <v>0.86371065180763107</v>
      </c>
    </row>
    <row r="82" spans="1:9">
      <c r="A82" s="1" t="s">
        <v>94</v>
      </c>
      <c r="B82" t="str">
        <f>HYPERLINK("https://www.suredividend.com/sure-analysis-CMS/","CMS Energy Corporation")</f>
        <v>CMS Energy Corporation</v>
      </c>
      <c r="C82">
        <v>-3.8628374600767013E-2</v>
      </c>
      <c r="D82">
        <v>-3.2032755699839999E-3</v>
      </c>
      <c r="E82">
        <v>-9.4182879995882013E-2</v>
      </c>
      <c r="F82">
        <v>-4.7432572903086001E-2</v>
      </c>
      <c r="G82">
        <v>-8.0080923362622999E-2</v>
      </c>
      <c r="H82">
        <v>0.17584410633686401</v>
      </c>
      <c r="I82">
        <v>0.61794010052642501</v>
      </c>
    </row>
    <row r="83" spans="1:9">
      <c r="A83" s="1" t="s">
        <v>95</v>
      </c>
      <c r="B83" t="str">
        <f>HYPERLINK("https://www.suredividend.com/sure-analysis-research-database/","Cohen &amp; Steers Inc.")</f>
        <v>Cohen &amp; Steers Inc.</v>
      </c>
      <c r="C83">
        <v>-4.9854476247024007E-2</v>
      </c>
      <c r="D83">
        <v>6.9371145923143002E-2</v>
      </c>
      <c r="E83">
        <v>3.8691963865284E-2</v>
      </c>
      <c r="F83">
        <v>0.119393663067035</v>
      </c>
      <c r="G83">
        <v>-4.2595102798496001E-2</v>
      </c>
      <c r="H83">
        <v>0.18369281115897501</v>
      </c>
      <c r="I83">
        <v>1.080624564662177</v>
      </c>
    </row>
    <row r="84" spans="1:9">
      <c r="A84" s="1" t="s">
        <v>96</v>
      </c>
      <c r="B84" t="str">
        <f>HYPERLINK("https://www.suredividend.com/sure-analysis-COST/","Costco Wholesale Corp")</f>
        <v>Costco Wholesale Corp</v>
      </c>
      <c r="C84">
        <v>-7.6806526806526013E-2</v>
      </c>
      <c r="D84">
        <v>-3.7293288277649002E-2</v>
      </c>
      <c r="E84">
        <v>-8.1222121888569004E-2</v>
      </c>
      <c r="F84">
        <v>4.2907642130343003E-2</v>
      </c>
      <c r="G84">
        <v>-8.9348504598956005E-2</v>
      </c>
      <c r="H84">
        <v>0.51071384296535505</v>
      </c>
      <c r="I84">
        <v>1.6864811088249261</v>
      </c>
    </row>
    <row r="85" spans="1:9">
      <c r="A85" s="1" t="s">
        <v>97</v>
      </c>
      <c r="B85" t="str">
        <f>HYPERLINK("https://www.suredividend.com/sure-analysis-CPK/","Chesapeake Utilities Corp")</f>
        <v>Chesapeake Utilities Corp</v>
      </c>
      <c r="C85">
        <v>2.2526082832753001E-2</v>
      </c>
      <c r="D85">
        <v>0.111441394383428</v>
      </c>
      <c r="E85">
        <v>2.7332263410627999E-2</v>
      </c>
      <c r="F85">
        <v>9.4686072093416007E-2</v>
      </c>
      <c r="G85">
        <v>-6.1876826464978003E-2</v>
      </c>
      <c r="H85">
        <v>0.232816142010661</v>
      </c>
      <c r="I85">
        <v>1.059346491374686</v>
      </c>
    </row>
    <row r="86" spans="1:9">
      <c r="A86" s="1" t="s">
        <v>98</v>
      </c>
      <c r="B86" t="str">
        <f>HYPERLINK("https://www.suredividend.com/sure-analysis-CSCO/","Cisco Systems, Inc.")</f>
        <v>Cisco Systems, Inc.</v>
      </c>
      <c r="C86">
        <v>1.3366234834464001E-2</v>
      </c>
      <c r="D86">
        <v>-5.2731919036200009E-4</v>
      </c>
      <c r="E86">
        <v>0.124359448224251</v>
      </c>
      <c r="F86">
        <v>4.2689325975828002E-2</v>
      </c>
      <c r="G86">
        <v>-0.106733395808825</v>
      </c>
      <c r="H86">
        <v>0.163474273950028</v>
      </c>
      <c r="I86">
        <v>0.28039243196616098</v>
      </c>
    </row>
    <row r="87" spans="1:9">
      <c r="A87" s="1" t="s">
        <v>99</v>
      </c>
      <c r="B87" t="str">
        <f>HYPERLINK("https://www.suredividend.com/sure-analysis-CSL/","Carlisle Companies Inc.")</f>
        <v>Carlisle Companies Inc.</v>
      </c>
      <c r="C87">
        <v>6.2781545621651003E-2</v>
      </c>
      <c r="D87">
        <v>2.4932138402906E-2</v>
      </c>
      <c r="E87">
        <v>-9.7739760600555003E-2</v>
      </c>
      <c r="F87">
        <v>0.129665071159451</v>
      </c>
      <c r="G87">
        <v>0.15519242544713399</v>
      </c>
      <c r="H87">
        <v>0.8588456585267471</v>
      </c>
      <c r="I87">
        <v>1.750152043705701</v>
      </c>
    </row>
    <row r="88" spans="1:9">
      <c r="A88" s="1" t="s">
        <v>100</v>
      </c>
      <c r="B88" t="str">
        <f>HYPERLINK("https://www.suredividend.com/sure-analysis-CSX/","CSX Corp.")</f>
        <v>CSX Corp.</v>
      </c>
      <c r="C88">
        <v>-3.1242808182966E-2</v>
      </c>
      <c r="D88">
        <v>-2.4590343600968002E-2</v>
      </c>
      <c r="E88">
        <v>3.863990125716E-3</v>
      </c>
      <c r="F88">
        <v>9.0964456480890007E-3</v>
      </c>
      <c r="G88">
        <v>-0.15691183435956399</v>
      </c>
      <c r="H88">
        <v>8.4696894249887009E-2</v>
      </c>
      <c r="I88">
        <v>0.80385207833871808</v>
      </c>
    </row>
    <row r="89" spans="1:9">
      <c r="A89" s="1" t="s">
        <v>101</v>
      </c>
      <c r="B89" t="str">
        <f>HYPERLINK("https://www.suredividend.com/sure-analysis-CTAS/","Cintas Corporation")</f>
        <v>Cintas Corporation</v>
      </c>
      <c r="C89">
        <v>1.281940010102E-3</v>
      </c>
      <c r="D89">
        <v>-4.2252104563483002E-2</v>
      </c>
      <c r="E89">
        <v>9.4501680333178004E-2</v>
      </c>
      <c r="F89">
        <v>-1.911531905003E-2</v>
      </c>
      <c r="G89">
        <v>0.17821639610043299</v>
      </c>
      <c r="H89">
        <v>0.37935835564625298</v>
      </c>
      <c r="I89">
        <v>1.7198368036362159</v>
      </c>
    </row>
    <row r="90" spans="1:9">
      <c r="A90" s="1" t="s">
        <v>102</v>
      </c>
      <c r="B90" t="str">
        <f>HYPERLINK("https://www.suredividend.com/sure-analysis-CTBI/","Community Trust Bancorp, Inc.")</f>
        <v>Community Trust Bancorp, Inc.</v>
      </c>
      <c r="C90">
        <v>-4.4519015659955002E-2</v>
      </c>
      <c r="D90">
        <v>-9.9951530988557011E-2</v>
      </c>
      <c r="E90">
        <v>3.6615260646481997E-2</v>
      </c>
      <c r="F90">
        <v>-7.0106684084476012E-2</v>
      </c>
      <c r="G90">
        <v>4.5647623361201997E-2</v>
      </c>
      <c r="H90">
        <v>7.8494501470903005E-2</v>
      </c>
      <c r="I90">
        <v>0.162255935777944</v>
      </c>
    </row>
    <row r="91" spans="1:9">
      <c r="A91" s="1" t="s">
        <v>103</v>
      </c>
      <c r="B91" t="str">
        <f>HYPERLINK("https://www.suredividend.com/sure-analysis-CUBE/","CubeSmart")</f>
        <v>CubeSmart</v>
      </c>
      <c r="C91">
        <v>4.578675838349E-2</v>
      </c>
      <c r="D91">
        <v>0.17733894777600301</v>
      </c>
      <c r="E91">
        <v>8.3084732178636003E-2</v>
      </c>
      <c r="F91">
        <v>0.20869565217391201</v>
      </c>
      <c r="G91">
        <v>-1.1369755839827E-2</v>
      </c>
      <c r="H91">
        <v>0.47590617301928212</v>
      </c>
      <c r="I91">
        <v>1.1837393337911779</v>
      </c>
    </row>
    <row r="92" spans="1:9">
      <c r="A92" s="1" t="s">
        <v>104</v>
      </c>
      <c r="B92" t="str">
        <f>HYPERLINK("https://www.suredividend.com/sure-analysis-CVX/","Chevron Corp.")</f>
        <v>Chevron Corp.</v>
      </c>
      <c r="C92">
        <v>-1.7891216687276001E-2</v>
      </c>
      <c r="D92">
        <v>-8.0714452499586004E-2</v>
      </c>
      <c r="E92">
        <v>6.2436842135770998E-2</v>
      </c>
      <c r="F92">
        <v>-7.2827135319125005E-2</v>
      </c>
      <c r="G92">
        <v>7.5459495545866007E-2</v>
      </c>
      <c r="H92">
        <v>0.71216063753488701</v>
      </c>
      <c r="I92">
        <v>0.81222150936431603</v>
      </c>
    </row>
    <row r="93" spans="1:9">
      <c r="A93" s="1" t="s">
        <v>105</v>
      </c>
      <c r="B93" t="str">
        <f>HYPERLINK("https://www.suredividend.com/sure-analysis-CWT/","California Water Service Group")</f>
        <v>California Water Service Group</v>
      </c>
      <c r="C93">
        <v>-9.3026966650710002E-2</v>
      </c>
      <c r="D93">
        <v>-0.112408941496131</v>
      </c>
      <c r="E93">
        <v>-1.9230603318120001E-2</v>
      </c>
      <c r="F93">
        <v>-5.8835996708244007E-2</v>
      </c>
      <c r="G93">
        <v>-1.3542102349344999E-2</v>
      </c>
      <c r="H93">
        <v>0.11671038025913801</v>
      </c>
      <c r="I93">
        <v>0.69732441471571904</v>
      </c>
    </row>
    <row r="94" spans="1:9">
      <c r="A94" s="1" t="s">
        <v>106</v>
      </c>
      <c r="B94" t="str">
        <f>HYPERLINK("https://www.suredividend.com/sure-analysis-DCI/","Donaldson Co. Inc.")</f>
        <v>Donaldson Co. Inc.</v>
      </c>
      <c r="C94">
        <v>5.4086337692135007E-2</v>
      </c>
      <c r="D94">
        <v>0.104008529699628</v>
      </c>
      <c r="E94">
        <v>0.32551249913303598</v>
      </c>
      <c r="F94">
        <v>0.14038946115788101</v>
      </c>
      <c r="G94">
        <v>0.34006470935881611</v>
      </c>
      <c r="H94">
        <v>0.20832768820846301</v>
      </c>
      <c r="I94">
        <v>0.54275144380685203</v>
      </c>
    </row>
    <row r="95" spans="1:9">
      <c r="A95" s="1" t="s">
        <v>107</v>
      </c>
      <c r="B95" t="str">
        <f>HYPERLINK("https://www.suredividend.com/sure-analysis-DDS/","Dillard`s Inc.")</f>
        <v>Dillard`s Inc.</v>
      </c>
      <c r="C95">
        <v>-0.103024880073571</v>
      </c>
      <c r="D95">
        <v>5.9679189231488003E-2</v>
      </c>
      <c r="E95">
        <v>0.31033398484517799</v>
      </c>
      <c r="F95">
        <v>0.11658415841584099</v>
      </c>
      <c r="G95">
        <v>0.48886671119624597</v>
      </c>
      <c r="H95">
        <v>3.594405692337268</v>
      </c>
      <c r="I95">
        <v>3.4624264876815851</v>
      </c>
    </row>
    <row r="96" spans="1:9">
      <c r="A96" s="1" t="s">
        <v>108</v>
      </c>
      <c r="B96" t="str">
        <f>HYPERLINK("https://www.suredividend.com/sure-analysis-DFS/","Discover Financial Services")</f>
        <v>Discover Financial Services</v>
      </c>
      <c r="C96">
        <v>-3.0214025520148999E-2</v>
      </c>
      <c r="D96">
        <v>9.4919409848264011E-2</v>
      </c>
      <c r="E96">
        <v>0.16596365468701699</v>
      </c>
      <c r="F96">
        <v>0.17964356818282201</v>
      </c>
      <c r="G96">
        <v>6.5070746421846001E-2</v>
      </c>
      <c r="H96">
        <v>0.25022467442633101</v>
      </c>
      <c r="I96">
        <v>0.69137585475123808</v>
      </c>
    </row>
    <row r="97" spans="1:9">
      <c r="A97" s="1" t="s">
        <v>109</v>
      </c>
      <c r="B97" t="str">
        <f>HYPERLINK("https://www.suredividend.com/sure-analysis-DGX/","Quest Diagnostics, Inc.")</f>
        <v>Quest Diagnostics, Inc.</v>
      </c>
      <c r="C97">
        <v>-1.4074644632727999E-2</v>
      </c>
      <c r="D97">
        <v>-6.4203110461252003E-2</v>
      </c>
      <c r="E97">
        <v>0.13131533888438399</v>
      </c>
      <c r="F97">
        <v>-9.9974431091792007E-2</v>
      </c>
      <c r="G97">
        <v>3.3486276579423997E-2</v>
      </c>
      <c r="H97">
        <v>0.224092363332869</v>
      </c>
      <c r="I97">
        <v>0.49347770284460801</v>
      </c>
    </row>
    <row r="98" spans="1:9">
      <c r="A98" s="1" t="s">
        <v>110</v>
      </c>
      <c r="B98" t="str">
        <f>HYPERLINK("https://www.suredividend.com/sure-analysis-DLR/","Digital Realty Trust Inc")</f>
        <v>Digital Realty Trust Inc</v>
      </c>
      <c r="C98">
        <v>-7.9940977345716008E-2</v>
      </c>
      <c r="D98">
        <v>-3.3134304942143013E-2</v>
      </c>
      <c r="E98">
        <v>-8.4576495724281012E-2</v>
      </c>
      <c r="F98">
        <v>5.7145706592201001E-2</v>
      </c>
      <c r="G98">
        <v>-0.20772068716029099</v>
      </c>
      <c r="H98">
        <v>-0.11866875747260799</v>
      </c>
      <c r="I98">
        <v>0.28564168681040703</v>
      </c>
    </row>
    <row r="99" spans="1:9">
      <c r="A99" s="1" t="s">
        <v>111</v>
      </c>
      <c r="B99" t="str">
        <f>HYPERLINK("https://www.suredividend.com/sure-analysis-DOV/","Dover Corp.")</f>
        <v>Dover Corp.</v>
      </c>
      <c r="C99">
        <v>-2.7767561950349001E-2</v>
      </c>
      <c r="D99">
        <v>8.1455675002465006E-2</v>
      </c>
      <c r="E99">
        <v>0.21702369438500699</v>
      </c>
      <c r="F99">
        <v>0.14598678613878399</v>
      </c>
      <c r="G99">
        <v>3.9830238384360013E-2</v>
      </c>
      <c r="H99">
        <v>0.26756268964262298</v>
      </c>
      <c r="I99">
        <v>1.136430386077077</v>
      </c>
    </row>
    <row r="100" spans="1:9">
      <c r="A100" s="1" t="s">
        <v>112</v>
      </c>
      <c r="B100" t="str">
        <f>HYPERLINK("https://www.suredividend.com/sure-analysis-DTE/","DTE Energy Co.")</f>
        <v>DTE Energy Co.</v>
      </c>
      <c r="C100">
        <v>-3.0241220290883001E-2</v>
      </c>
      <c r="D100">
        <v>-4.1965167307838003E-2</v>
      </c>
      <c r="E100">
        <v>-0.153701308802667</v>
      </c>
      <c r="F100">
        <v>-6.959925125499801E-2</v>
      </c>
      <c r="G100">
        <v>-0.119538278948953</v>
      </c>
      <c r="H100">
        <v>0.13799799770631199</v>
      </c>
      <c r="I100">
        <v>0.50185826633227903</v>
      </c>
    </row>
    <row r="101" spans="1:9">
      <c r="A101" s="1" t="s">
        <v>113</v>
      </c>
      <c r="B101" t="str">
        <f>HYPERLINK("https://www.suredividend.com/sure-analysis-DUK/","Duke Energy Corp.")</f>
        <v>Duke Energy Corp.</v>
      </c>
      <c r="C101">
        <v>-4.1899688233214001E-2</v>
      </c>
      <c r="D101">
        <v>-3.1695502292097E-2</v>
      </c>
      <c r="E101">
        <v>-9.0048821995272005E-2</v>
      </c>
      <c r="F101">
        <v>-6.4319569345700003E-2</v>
      </c>
      <c r="G101">
        <v>-5.8040281393061013E-2</v>
      </c>
      <c r="H101">
        <v>0.19175826509781199</v>
      </c>
      <c r="I101">
        <v>0.55681332275764306</v>
      </c>
    </row>
    <row r="102" spans="1:9">
      <c r="A102" s="1" t="s">
        <v>114</v>
      </c>
      <c r="B102" t="str">
        <f>HYPERLINK("https://www.suredividend.com/sure-analysis-ECL/","Ecolab, Inc.")</f>
        <v>Ecolab, Inc.</v>
      </c>
      <c r="C102">
        <v>6.5953421619153005E-2</v>
      </c>
      <c r="D102">
        <v>8.3532102456779E-2</v>
      </c>
      <c r="E102">
        <v>1.7914421679458999E-2</v>
      </c>
      <c r="F102">
        <v>0.1225611431712</v>
      </c>
      <c r="G102">
        <v>-1.4658314378269E-2</v>
      </c>
      <c r="H102">
        <v>-0.183111096890822</v>
      </c>
      <c r="I102">
        <v>0.34756996189032502</v>
      </c>
    </row>
    <row r="103" spans="1:9">
      <c r="A103" s="1" t="s">
        <v>115</v>
      </c>
      <c r="B103" t="str">
        <f>HYPERLINK("https://www.suredividend.com/sure-analysis-ED/","Consolidated Edison, Inc.")</f>
        <v>Consolidated Edison, Inc.</v>
      </c>
      <c r="C103">
        <v>-1.5511474843923999E-2</v>
      </c>
      <c r="D103">
        <v>-6.0210175512407003E-2</v>
      </c>
      <c r="E103">
        <v>-6.2704442361335003E-2</v>
      </c>
      <c r="F103">
        <v>-4.0095006144281013E-2</v>
      </c>
      <c r="G103">
        <v>4.3809137962586002E-2</v>
      </c>
      <c r="H103">
        <v>0.45725138831756401</v>
      </c>
      <c r="I103">
        <v>0.43998094633216811</v>
      </c>
    </row>
    <row r="104" spans="1:9">
      <c r="A104" s="1" t="s">
        <v>116</v>
      </c>
      <c r="B104" t="str">
        <f>HYPERLINK("https://www.suredividend.com/sure-analysis-EGP/","Eastgroup Properties, Inc.")</f>
        <v>Eastgroup Properties, Inc.</v>
      </c>
      <c r="C104">
        <v>-4.5106895513398998E-2</v>
      </c>
      <c r="D104">
        <v>8.5039713849516002E-2</v>
      </c>
      <c r="E104">
        <v>3.108269535525E-2</v>
      </c>
      <c r="F104">
        <v>7.0917195731460006E-2</v>
      </c>
      <c r="G104">
        <v>-0.16223373340687999</v>
      </c>
      <c r="H104">
        <v>0.15387022453022101</v>
      </c>
      <c r="I104">
        <v>1.1497212520878981</v>
      </c>
    </row>
    <row r="105" spans="1:9">
      <c r="A105" s="1" t="s">
        <v>117</v>
      </c>
      <c r="B105" t="str">
        <f>HYPERLINK("https://www.suredividend.com/sure-analysis-EIX/","Edison International")</f>
        <v>Edison International</v>
      </c>
      <c r="C105">
        <v>6.4303873186770007E-3</v>
      </c>
      <c r="D105">
        <v>4.1336252582064997E-2</v>
      </c>
      <c r="E105">
        <v>1.3218511938815E-2</v>
      </c>
      <c r="F105">
        <v>5.7843445457402998E-2</v>
      </c>
      <c r="G105">
        <v>7.2344195399276001E-2</v>
      </c>
      <c r="H105">
        <v>0.289620376385192</v>
      </c>
      <c r="I105">
        <v>0.37963551382710398</v>
      </c>
    </row>
    <row r="106" spans="1:9">
      <c r="A106" s="1" t="s">
        <v>118</v>
      </c>
      <c r="B106" t="str">
        <f>HYPERLINK("https://www.suredividend.com/sure-analysis-ELS/","Equity Lifestyle Properties Inc.")</f>
        <v>Equity Lifestyle Properties Inc.</v>
      </c>
      <c r="C106">
        <v>-6.2783973564642007E-2</v>
      </c>
      <c r="D106">
        <v>3.6723181051129997E-2</v>
      </c>
      <c r="E106">
        <v>-1.4362477719263E-2</v>
      </c>
      <c r="F106">
        <v>5.3715170278637002E-2</v>
      </c>
      <c r="G106">
        <v>-0.102382701185878</v>
      </c>
      <c r="H106">
        <v>0.202645927046194</v>
      </c>
      <c r="I106">
        <v>0.81868702926410808</v>
      </c>
    </row>
    <row r="107" spans="1:9">
      <c r="A107" s="1" t="s">
        <v>119</v>
      </c>
      <c r="B107" t="str">
        <f>HYPERLINK("https://www.suredividend.com/sure-analysis-EMN/","Eastman Chemical Co")</f>
        <v>Eastman Chemical Co</v>
      </c>
      <c r="C107">
        <v>-3.2594235033259013E-2</v>
      </c>
      <c r="D107">
        <v>6.0505999870870001E-3</v>
      </c>
      <c r="E107">
        <v>-7.457152086773001E-3</v>
      </c>
      <c r="F107">
        <v>7.1463654223968012E-2</v>
      </c>
      <c r="G107">
        <v>-0.21470868806134</v>
      </c>
      <c r="H107">
        <v>-0.16882889267357801</v>
      </c>
      <c r="I107">
        <v>1.1879084739944999E-2</v>
      </c>
    </row>
    <row r="108" spans="1:9">
      <c r="A108" s="1" t="s">
        <v>120</v>
      </c>
      <c r="B108" t="str">
        <f>HYPERLINK("https://www.suredividend.com/sure-analysis-EMR/","Emerson Electric Co.")</f>
        <v>Emerson Electric Co.</v>
      </c>
      <c r="C108">
        <v>-5.8378548555589008E-2</v>
      </c>
      <c r="D108">
        <v>-0.11164652795447</v>
      </c>
      <c r="E108">
        <v>6.4834928179037007E-2</v>
      </c>
      <c r="F108">
        <v>-0.104155299297378</v>
      </c>
      <c r="G108">
        <v>-3.7876444619407E-2</v>
      </c>
      <c r="H108">
        <v>1.6669142772247E-2</v>
      </c>
      <c r="I108">
        <v>0.41475185609687898</v>
      </c>
    </row>
    <row r="109" spans="1:9">
      <c r="A109" s="1" t="s">
        <v>121</v>
      </c>
      <c r="B109" t="str">
        <f>HYPERLINK("https://www.suredividend.com/sure-analysis-ENSG/","Ensign Group Inc")</f>
        <v>Ensign Group Inc</v>
      </c>
      <c r="C109">
        <v>-1.0281385281384999E-2</v>
      </c>
      <c r="D109">
        <v>-2.9419880707264999E-2</v>
      </c>
      <c r="E109">
        <v>0.110189830928225</v>
      </c>
      <c r="F109">
        <v>-3.3400274812387012E-2</v>
      </c>
      <c r="G109">
        <v>7.3819356459883009E-2</v>
      </c>
      <c r="H109">
        <v>0.113684743797707</v>
      </c>
      <c r="I109">
        <v>2.7126803562874011</v>
      </c>
    </row>
    <row r="110" spans="1:9">
      <c r="A110" s="1" t="s">
        <v>122</v>
      </c>
      <c r="B110" t="str">
        <f>HYPERLINK("https://www.suredividend.com/sure-analysis-EPD/","Enterprise Products Partners L P")</f>
        <v>Enterprise Products Partners L P</v>
      </c>
      <c r="C110">
        <v>1.0848508330103999E-2</v>
      </c>
      <c r="D110">
        <v>6.9656840637940004E-2</v>
      </c>
      <c r="E110">
        <v>3.0528773042725998E-2</v>
      </c>
      <c r="F110">
        <v>0.102029609917844</v>
      </c>
      <c r="G110">
        <v>0.104436796498313</v>
      </c>
      <c r="H110">
        <v>0.32363311670192602</v>
      </c>
      <c r="I110">
        <v>0.51300757373664707</v>
      </c>
    </row>
    <row r="111" spans="1:9">
      <c r="A111" s="1" t="s">
        <v>123</v>
      </c>
      <c r="B111" t="str">
        <f>HYPERLINK("https://www.suredividend.com/sure-analysis-ERIE/","Erie Indemnity Co.")</f>
        <v>Erie Indemnity Co.</v>
      </c>
      <c r="C111">
        <v>-3.8042369076288003E-2</v>
      </c>
      <c r="D111">
        <v>-0.15441543185557799</v>
      </c>
      <c r="E111">
        <v>0.103827307021085</v>
      </c>
      <c r="F111">
        <v>-4.7833373466521001E-2</v>
      </c>
      <c r="G111">
        <v>0.39777975612548011</v>
      </c>
      <c r="H111">
        <v>7.0678306759079004E-2</v>
      </c>
      <c r="I111">
        <v>1.3016761304260349</v>
      </c>
    </row>
    <row r="112" spans="1:9">
      <c r="A112" s="1" t="s">
        <v>124</v>
      </c>
      <c r="B112" t="str">
        <f>HYPERLINK("https://www.suredividend.com/sure-analysis-ES/","Eversource Energy")</f>
        <v>Eversource Energy</v>
      </c>
      <c r="C112">
        <v>-5.2621929089806001E-2</v>
      </c>
      <c r="D112">
        <v>-8.3845613898732005E-2</v>
      </c>
      <c r="E112">
        <v>-0.137342525560115</v>
      </c>
      <c r="F112">
        <v>-9.205791380327101E-2</v>
      </c>
      <c r="G112">
        <v>-9.4696824238700003E-2</v>
      </c>
      <c r="H112">
        <v>3.623526826186E-2</v>
      </c>
      <c r="I112">
        <v>0.54226089231976904</v>
      </c>
    </row>
    <row r="113" spans="1:9">
      <c r="A113" s="1" t="s">
        <v>125</v>
      </c>
      <c r="B113" t="str">
        <f>HYPERLINK("https://www.suredividend.com/sure-analysis-ESS/","Essex Property Trust, Inc.")</f>
        <v>Essex Property Trust, Inc.</v>
      </c>
      <c r="C113">
        <v>7.9881913692800011E-3</v>
      </c>
      <c r="D113">
        <v>7.7478390567121011E-2</v>
      </c>
      <c r="E113">
        <v>-0.11002011251817299</v>
      </c>
      <c r="F113">
        <v>9.560211400528501E-2</v>
      </c>
      <c r="G113">
        <v>-0.272578939189629</v>
      </c>
      <c r="H113">
        <v>-7.6805503699259009E-2</v>
      </c>
      <c r="I113">
        <v>0.22039999137972199</v>
      </c>
    </row>
    <row r="114" spans="1:9">
      <c r="A114" s="1" t="s">
        <v>126</v>
      </c>
      <c r="B114" t="str">
        <f>HYPERLINK("https://www.suredividend.com/sure-analysis-ETN/","Eaton Corporation plc")</f>
        <v>Eaton Corporation plc</v>
      </c>
      <c r="C114">
        <v>9.3029054072772011E-2</v>
      </c>
      <c r="D114">
        <v>9.2560924655447005E-2</v>
      </c>
      <c r="E114">
        <v>0.30622256325670599</v>
      </c>
      <c r="F114">
        <v>0.13683366692406301</v>
      </c>
      <c r="G114">
        <v>0.217494341102759</v>
      </c>
      <c r="H114">
        <v>0.38321583854197899</v>
      </c>
      <c r="I114">
        <v>1.6049040564906929</v>
      </c>
    </row>
    <row r="115" spans="1:9">
      <c r="A115" s="1" t="s">
        <v>127</v>
      </c>
      <c r="B115" t="str">
        <f>HYPERLINK("https://www.suredividend.com/sure-analysis-EVR/","Evercore Inc")</f>
        <v>Evercore Inc</v>
      </c>
      <c r="C115">
        <v>-8.2689212639250002E-3</v>
      </c>
      <c r="D115">
        <v>0.15275481925717099</v>
      </c>
      <c r="E115">
        <v>0.43618389143335201</v>
      </c>
      <c r="F115">
        <v>0.220389241101559</v>
      </c>
      <c r="G115">
        <v>0.14416515534747601</v>
      </c>
      <c r="H115">
        <v>0.149179789855336</v>
      </c>
      <c r="I115">
        <v>0.63649851632047505</v>
      </c>
    </row>
    <row r="116" spans="1:9">
      <c r="A116" s="1" t="s">
        <v>128</v>
      </c>
      <c r="B116" t="str">
        <f>HYPERLINK("https://www.suredividend.com/sure-analysis-EVRG/","Evergy Inc")</f>
        <v>Evergy Inc</v>
      </c>
      <c r="C116">
        <v>-3.4231018818948002E-2</v>
      </c>
      <c r="D116">
        <v>1.7606837606837001E-2</v>
      </c>
      <c r="E116">
        <v>-0.12023243716157</v>
      </c>
      <c r="F116">
        <v>-5.4028285396472003E-2</v>
      </c>
      <c r="G116">
        <v>-3.9875875772550001E-2</v>
      </c>
      <c r="H116">
        <v>0.165990602346866</v>
      </c>
      <c r="I116">
        <v>0.280391279659996</v>
      </c>
    </row>
    <row r="117" spans="1:9">
      <c r="A117" s="1" t="s">
        <v>129</v>
      </c>
      <c r="B117" t="str">
        <f>HYPERLINK("https://www.suredividend.com/sure-analysis-EXPD/","Expeditors International Of Washington, Inc.")</f>
        <v>Expeditors International Of Washington, Inc.</v>
      </c>
      <c r="C117">
        <v>-6.5196958044945005E-2</v>
      </c>
      <c r="D117">
        <v>-5.2977839335179001E-2</v>
      </c>
      <c r="E117">
        <v>8.2309970013880004E-2</v>
      </c>
      <c r="F117">
        <v>5.2732871439568001E-2</v>
      </c>
      <c r="G117">
        <v>0.105801109439943</v>
      </c>
      <c r="H117">
        <v>0.19046323601423301</v>
      </c>
      <c r="I117">
        <v>0.81199327541800903</v>
      </c>
    </row>
    <row r="118" spans="1:9">
      <c r="A118" s="1" t="s">
        <v>130</v>
      </c>
      <c r="B118" t="str">
        <f>HYPERLINK("https://www.suredividend.com/sure-analysis-EXR/","Extra Space Storage Inc.")</f>
        <v>Extra Space Storage Inc.</v>
      </c>
      <c r="C118">
        <v>3.665788021823E-2</v>
      </c>
      <c r="D118">
        <v>7.3738828316076005E-2</v>
      </c>
      <c r="E118">
        <v>-0.13801935595350701</v>
      </c>
      <c r="F118">
        <v>0.14900122299225399</v>
      </c>
      <c r="G118">
        <v>-0.12877185733722801</v>
      </c>
      <c r="H118">
        <v>0.47313110265748998</v>
      </c>
      <c r="I118">
        <v>1.347589247538717</v>
      </c>
    </row>
    <row r="119" spans="1:9">
      <c r="A119" s="1" t="s">
        <v>131</v>
      </c>
      <c r="B119" t="str">
        <f>HYPERLINK("https://www.suredividend.com/sure-analysis-FAF/","First American Financial Corp")</f>
        <v>First American Financial Corp</v>
      </c>
      <c r="C119">
        <v>-0.13112667091024799</v>
      </c>
      <c r="D119">
        <v>3.7159171640344997E-2</v>
      </c>
      <c r="E119">
        <v>4.7475985749722012E-2</v>
      </c>
      <c r="F119">
        <v>4.3179212839127998E-2</v>
      </c>
      <c r="G119">
        <v>-0.13933069562887099</v>
      </c>
      <c r="H119">
        <v>0.13554119144475699</v>
      </c>
      <c r="I119">
        <v>0.115159635306035</v>
      </c>
    </row>
    <row r="120" spans="1:9">
      <c r="A120" s="1" t="s">
        <v>132</v>
      </c>
      <c r="B120" t="str">
        <f>HYPERLINK("https://www.suredividend.com/sure-analysis-FAST/","Fastenal Co.")</f>
        <v>Fastenal Co.</v>
      </c>
      <c r="C120">
        <v>-9.5940959409590004E-3</v>
      </c>
      <c r="D120">
        <v>5.1026062235309998E-2</v>
      </c>
      <c r="E120">
        <v>7.8097824122237008E-2</v>
      </c>
      <c r="F120">
        <v>0.142312373915782</v>
      </c>
      <c r="G120">
        <v>2.0249132370102001E-2</v>
      </c>
      <c r="H120">
        <v>0.27313908949683902</v>
      </c>
      <c r="I120">
        <v>1.2559550826230941</v>
      </c>
    </row>
    <row r="121" spans="1:9">
      <c r="A121" s="1" t="s">
        <v>133</v>
      </c>
      <c r="B121" t="str">
        <f>HYPERLINK("https://www.suredividend.com/sure-analysis-research-database/","First Community Bankshares Inc.")</f>
        <v>First Community Bankshares Inc.</v>
      </c>
      <c r="C121">
        <v>-7.4696867785271001E-2</v>
      </c>
      <c r="D121">
        <v>-0.180297068501827</v>
      </c>
      <c r="E121">
        <v>-6.5191084045750003E-3</v>
      </c>
      <c r="F121">
        <v>-9.1074133707935004E-2</v>
      </c>
      <c r="G121">
        <v>9.2321558865187003E-2</v>
      </c>
      <c r="H121">
        <v>0.20008959411508101</v>
      </c>
      <c r="I121">
        <v>0.32285101682801598</v>
      </c>
    </row>
    <row r="122" spans="1:9">
      <c r="A122" s="1" t="s">
        <v>134</v>
      </c>
      <c r="B122" t="str">
        <f>HYPERLINK("https://www.suredividend.com/sure-analysis-FDS/","Factset Research Systems Inc.")</f>
        <v>Factset Research Systems Inc.</v>
      </c>
      <c r="C122">
        <v>-1.2790133526461999E-2</v>
      </c>
      <c r="D122">
        <v>-0.104125044745891</v>
      </c>
      <c r="E122">
        <v>-1.7462206585802002E-2</v>
      </c>
      <c r="F122">
        <v>5.2046320010910002E-2</v>
      </c>
      <c r="G122">
        <v>2.8388855018901E-2</v>
      </c>
      <c r="H122">
        <v>0.40771543025892998</v>
      </c>
      <c r="I122">
        <v>1.1461119045520289</v>
      </c>
    </row>
    <row r="123" spans="1:9">
      <c r="A123" s="1" t="s">
        <v>135</v>
      </c>
      <c r="B123" t="str">
        <f>HYPERLINK("https://www.suredividend.com/sure-analysis-FELE/","Franklin Electric Co., Inc.")</f>
        <v>Franklin Electric Co., Inc.</v>
      </c>
      <c r="C123">
        <v>3.1000319590923E-2</v>
      </c>
      <c r="D123">
        <v>0.161381369417197</v>
      </c>
      <c r="E123">
        <v>0.13363358966399699</v>
      </c>
      <c r="F123">
        <v>0.216573456373434</v>
      </c>
      <c r="G123">
        <v>0.177496888356796</v>
      </c>
      <c r="H123">
        <v>0.33685296689361899</v>
      </c>
      <c r="I123">
        <v>1.556496242389021</v>
      </c>
    </row>
    <row r="124" spans="1:9">
      <c r="A124" s="1" t="s">
        <v>136</v>
      </c>
      <c r="B124" t="str">
        <f>HYPERLINK("https://www.suredividend.com/sure-analysis-research-database/","First Financial Bankshares, Inc.")</f>
        <v>First Financial Bankshares, Inc.</v>
      </c>
      <c r="C124">
        <v>-1.9655358104469001E-2</v>
      </c>
      <c r="D124">
        <v>-1.7910125694555998E-2</v>
      </c>
      <c r="E124">
        <v>-0.119783003906703</v>
      </c>
      <c r="F124">
        <v>5.8430232558139013E-2</v>
      </c>
      <c r="G124">
        <v>-0.198473114397545</v>
      </c>
      <c r="H124">
        <v>-0.16552071873853999</v>
      </c>
      <c r="I124">
        <v>0.6757411046728371</v>
      </c>
    </row>
    <row r="125" spans="1:9">
      <c r="A125" s="1" t="s">
        <v>137</v>
      </c>
      <c r="B125" t="str">
        <f>HYPERLINK("https://www.suredividend.com/sure-analysis-research-database/","Financial Institutions Inc.")</f>
        <v>Financial Institutions Inc.</v>
      </c>
      <c r="C125">
        <v>-3.2812500000000001E-2</v>
      </c>
      <c r="D125">
        <v>-9.8851530759140015E-3</v>
      </c>
      <c r="E125">
        <v>-1.3907253118378E-2</v>
      </c>
      <c r="F125">
        <v>1.6420361247947001E-2</v>
      </c>
      <c r="G125">
        <v>-0.184753977452323</v>
      </c>
      <c r="H125">
        <v>-7.1678701849893001E-2</v>
      </c>
      <c r="I125">
        <v>-4.1060874818940003E-2</v>
      </c>
    </row>
    <row r="126" spans="1:9">
      <c r="A126" s="1" t="s">
        <v>138</v>
      </c>
      <c r="B126" t="str">
        <f>HYPERLINK("https://www.suredividend.com/sure-analysis-FITB/","Fifth Third Bancorp")</f>
        <v>Fifth Third Bancorp</v>
      </c>
      <c r="C126">
        <v>-3.7460148777894997E-2</v>
      </c>
      <c r="D126">
        <v>3.827250712863E-2</v>
      </c>
      <c r="E126">
        <v>9.8131690934881013E-2</v>
      </c>
      <c r="F126">
        <v>0.104236513258152</v>
      </c>
      <c r="G126">
        <v>-0.15736739525818499</v>
      </c>
      <c r="H126">
        <v>8.5702470175396006E-2</v>
      </c>
      <c r="I126">
        <v>0.31537863880276201</v>
      </c>
    </row>
    <row r="127" spans="1:9">
      <c r="A127" s="1" t="s">
        <v>139</v>
      </c>
      <c r="B127" t="str">
        <f>HYPERLINK("https://www.suredividend.com/sure-analysis-FLIC/","First Of Long Island Corp.")</f>
        <v>First Of Long Island Corp.</v>
      </c>
      <c r="C127">
        <v>-3.6219581211092013E-2</v>
      </c>
      <c r="D127">
        <v>-0.11665542818610899</v>
      </c>
      <c r="E127">
        <v>-4.8247109253183998E-2</v>
      </c>
      <c r="F127">
        <v>-5.3888888888888001E-2</v>
      </c>
      <c r="G127">
        <v>-0.16502417164318101</v>
      </c>
      <c r="H127">
        <v>-5.0724637681159007E-2</v>
      </c>
      <c r="I127">
        <v>-0.26706347669279001</v>
      </c>
    </row>
    <row r="128" spans="1:9">
      <c r="A128" s="1" t="s">
        <v>140</v>
      </c>
      <c r="B128" t="str">
        <f>HYPERLINK("https://www.suredividend.com/sure-analysis-FLO/","Flowers Foods, Inc.")</f>
        <v>Flowers Foods, Inc.</v>
      </c>
      <c r="C128">
        <v>2.4140721402234E-2</v>
      </c>
      <c r="D128">
        <v>-5.9553750353045012E-2</v>
      </c>
      <c r="E128">
        <v>5.2334549832573997E-2</v>
      </c>
      <c r="F128">
        <v>-1.8978573257433001E-2</v>
      </c>
      <c r="G128">
        <v>7.1491506983656999E-2</v>
      </c>
      <c r="H128">
        <v>0.33242504215931901</v>
      </c>
      <c r="I128">
        <v>0.59132027809701504</v>
      </c>
    </row>
    <row r="129" spans="1:9">
      <c r="A129" s="1" t="s">
        <v>141</v>
      </c>
      <c r="B129" t="str">
        <f>HYPERLINK("https://www.suredividend.com/sure-analysis-FNF/","Fidelity National Financial Inc")</f>
        <v>Fidelity National Financial Inc</v>
      </c>
      <c r="C129">
        <v>-0.14263217097862699</v>
      </c>
      <c r="D129">
        <v>3.0646243049696001E-2</v>
      </c>
      <c r="E129">
        <v>-1.6130198168054999E-2</v>
      </c>
      <c r="F129">
        <v>1.3024986709197E-2</v>
      </c>
      <c r="G129">
        <v>-0.152612093788564</v>
      </c>
      <c r="H129">
        <v>0.10627946401616301</v>
      </c>
      <c r="I129">
        <v>0.19306637781791799</v>
      </c>
    </row>
    <row r="130" spans="1:9">
      <c r="A130" s="1" t="s">
        <v>142</v>
      </c>
      <c r="B130" t="str">
        <f>HYPERLINK("https://www.suredividend.com/sure-analysis-research-database/","First Merchants Corp.")</f>
        <v>First Merchants Corp.</v>
      </c>
      <c r="C130">
        <v>-5.5868981887013003E-2</v>
      </c>
      <c r="D130">
        <v>-5.3916346287461003E-2</v>
      </c>
      <c r="E130">
        <v>4.4941434677730013E-2</v>
      </c>
      <c r="F130">
        <v>1.5470653567679999E-3</v>
      </c>
      <c r="G130">
        <v>-2.2455992572101E-2</v>
      </c>
      <c r="H130">
        <v>-1.9866596285810001E-2</v>
      </c>
      <c r="I130">
        <v>0.117310795656574</v>
      </c>
    </row>
    <row r="131" spans="1:9">
      <c r="A131" s="1" t="s">
        <v>143</v>
      </c>
      <c r="B131" t="str">
        <f>HYPERLINK("https://www.suredividend.com/sure-analysis-FRT/","Federal Realty Investment Trust.")</f>
        <v>Federal Realty Investment Trust.</v>
      </c>
      <c r="C131">
        <v>-5.1220806794055003E-2</v>
      </c>
      <c r="D131">
        <v>-9.5471344744080013E-3</v>
      </c>
      <c r="E131">
        <v>8.7871626076460013E-2</v>
      </c>
      <c r="F131">
        <v>6.1460807600949012E-2</v>
      </c>
      <c r="G131">
        <v>-7.8517207456063012E-2</v>
      </c>
      <c r="H131">
        <v>-0.18639300138673501</v>
      </c>
      <c r="I131">
        <v>-0.18639300138673501</v>
      </c>
    </row>
    <row r="132" spans="1:9">
      <c r="A132" s="1" t="s">
        <v>144</v>
      </c>
      <c r="B132" t="str">
        <f>HYPERLINK("https://www.suredividend.com/sure-analysis-FUL/","H.B. Fuller Company")</f>
        <v>H.B. Fuller Company</v>
      </c>
      <c r="C132">
        <v>-2.0748576078112001E-2</v>
      </c>
      <c r="D132">
        <v>-9.8767404360263003E-2</v>
      </c>
      <c r="E132">
        <v>0.136694565872717</v>
      </c>
      <c r="F132">
        <v>1.083628819683E-2</v>
      </c>
      <c r="G132">
        <v>0.103959639198899</v>
      </c>
      <c r="H132">
        <v>0.32858396610188101</v>
      </c>
      <c r="I132">
        <v>0.55165856205667207</v>
      </c>
    </row>
    <row r="133" spans="1:9">
      <c r="A133" s="1" t="s">
        <v>145</v>
      </c>
      <c r="B133" t="str">
        <f>HYPERLINK("https://www.suredividend.com/sure-analysis-GATX/","GATX Corp.")</f>
        <v>GATX Corp.</v>
      </c>
      <c r="C133">
        <v>-7.2358293959771003E-2</v>
      </c>
      <c r="D133">
        <v>-4.0465725824425001E-2</v>
      </c>
      <c r="E133">
        <v>0.174268005424566</v>
      </c>
      <c r="F133">
        <v>1.7230445273417001E-2</v>
      </c>
      <c r="G133">
        <v>-4.0172221444387E-2</v>
      </c>
      <c r="H133">
        <v>0.17336164896394601</v>
      </c>
      <c r="I133">
        <v>0.77335112780716009</v>
      </c>
    </row>
    <row r="134" spans="1:9">
      <c r="A134" s="1" t="s">
        <v>146</v>
      </c>
      <c r="B134" t="str">
        <f>HYPERLINK("https://www.suredividend.com/sure-analysis-GD/","General Dynamics Corp.")</f>
        <v>General Dynamics Corp.</v>
      </c>
      <c r="C134">
        <v>-2.1594540900059999E-3</v>
      </c>
      <c r="D134">
        <v>-9.1753924437574005E-2</v>
      </c>
      <c r="E134">
        <v>3.8656974812658E-2</v>
      </c>
      <c r="F134">
        <v>-6.382285570497101E-2</v>
      </c>
      <c r="G134">
        <v>-3.7225422349421E-2</v>
      </c>
      <c r="H134">
        <v>0.45983556630549799</v>
      </c>
      <c r="I134">
        <v>0.15980558798990699</v>
      </c>
    </row>
    <row r="135" spans="1:9">
      <c r="A135" s="1" t="s">
        <v>147</v>
      </c>
      <c r="B135" t="str">
        <f>HYPERLINK("https://www.suredividend.com/sure-analysis-research-database/","Griffon Corp.")</f>
        <v>Griffon Corp.</v>
      </c>
      <c r="C135">
        <v>-0.113862078612393</v>
      </c>
      <c r="D135">
        <v>5.7513604950087012E-2</v>
      </c>
      <c r="E135">
        <v>0.20407122424995</v>
      </c>
      <c r="F135">
        <v>6.4899771667110001E-2</v>
      </c>
      <c r="G135">
        <v>0.77122699758151303</v>
      </c>
      <c r="H135">
        <v>0.69360120837844608</v>
      </c>
      <c r="I135">
        <v>1.4652363409951741</v>
      </c>
    </row>
    <row r="136" spans="1:9">
      <c r="A136" s="1" t="s">
        <v>148</v>
      </c>
      <c r="B136" t="str">
        <f>HYPERLINK("https://www.suredividend.com/sure-analysis-GGG/","Graco Inc.")</f>
        <v>Graco Inc.</v>
      </c>
      <c r="C136">
        <v>-3.2253540877849999E-3</v>
      </c>
      <c r="D136">
        <v>1.1958997722095001E-2</v>
      </c>
      <c r="E136">
        <v>0.124478931839934</v>
      </c>
      <c r="F136">
        <v>5.6794528694617007E-2</v>
      </c>
      <c r="G136">
        <v>1.6564218884525E-2</v>
      </c>
      <c r="H136">
        <v>0.105888686111512</v>
      </c>
      <c r="I136">
        <v>0.71008439752485208</v>
      </c>
    </row>
    <row r="137" spans="1:9">
      <c r="A137" s="1" t="s">
        <v>149</v>
      </c>
      <c r="B137" t="str">
        <f>HYPERLINK("https://www.suredividend.com/sure-analysis-GL/","Globe Life Inc")</f>
        <v>Globe Life Inc</v>
      </c>
      <c r="C137">
        <v>3.4953395472699998E-3</v>
      </c>
      <c r="D137">
        <v>-2.8983589747820001E-3</v>
      </c>
      <c r="E137">
        <v>0.25038368051234799</v>
      </c>
      <c r="F137">
        <v>1.9810273421650001E-3</v>
      </c>
      <c r="G137">
        <v>0.25047315340540799</v>
      </c>
      <c r="H137">
        <v>0.296743193657594</v>
      </c>
      <c r="I137">
        <v>0.47063307473055199</v>
      </c>
    </row>
    <row r="138" spans="1:9">
      <c r="A138" s="1" t="s">
        <v>150</v>
      </c>
      <c r="B138" t="str">
        <f>HYPERLINK("https://www.suredividend.com/sure-analysis-GLW/","Corning, Inc.")</f>
        <v>Corning, Inc.</v>
      </c>
      <c r="C138">
        <v>-5.0298603882270006E-3</v>
      </c>
      <c r="D138">
        <v>4.5889243086959013E-2</v>
      </c>
      <c r="E138">
        <v>8.1427471998479009E-2</v>
      </c>
      <c r="F138">
        <v>0.113345307503638</v>
      </c>
      <c r="G138">
        <v>-6.2743316033812002E-2</v>
      </c>
      <c r="H138">
        <v>9.5083262254629999E-3</v>
      </c>
      <c r="I138">
        <v>0.40614846089137102</v>
      </c>
    </row>
    <row r="139" spans="1:9">
      <c r="A139" s="1" t="s">
        <v>151</v>
      </c>
      <c r="B139" t="str">
        <f>HYPERLINK("https://www.suredividend.com/sure-analysis-GNTX/","Gentex Corp.")</f>
        <v>Gentex Corp.</v>
      </c>
      <c r="C139">
        <v>-4.8643282594308002E-2</v>
      </c>
      <c r="D139">
        <v>1.3791084985665E-2</v>
      </c>
      <c r="E139">
        <v>8.3356256523688013E-2</v>
      </c>
      <c r="F139">
        <v>5.8775870958237997E-2</v>
      </c>
      <c r="G139">
        <v>2.7875997039717E-2</v>
      </c>
      <c r="H139">
        <v>-0.14597195817490399</v>
      </c>
      <c r="I139">
        <v>0.37424356854009899</v>
      </c>
    </row>
    <row r="140" spans="1:9">
      <c r="A140" s="1" t="s">
        <v>152</v>
      </c>
      <c r="B140" t="str">
        <f>HYPERLINK("https://www.suredividend.com/sure-analysis-GPC/","Genuine Parts Co.")</f>
        <v>Genuine Parts Co.</v>
      </c>
      <c r="C140">
        <v>-1.8453898526433001E-2</v>
      </c>
      <c r="D140">
        <v>-8.8518030735481007E-2</v>
      </c>
      <c r="E140">
        <v>2.5439846655774999E-2</v>
      </c>
      <c r="F140">
        <v>-4.2553068176944001E-2</v>
      </c>
      <c r="G140">
        <v>0.39098570534847399</v>
      </c>
      <c r="H140">
        <v>0.52936765461471802</v>
      </c>
      <c r="I140">
        <v>1.0434947718942771</v>
      </c>
    </row>
    <row r="141" spans="1:9">
      <c r="A141" s="1" t="s">
        <v>153</v>
      </c>
      <c r="B141" t="str">
        <f>HYPERLINK("https://www.suredividend.com/sure-analysis-GRC/","Gorman-Rupp Co.")</f>
        <v>Gorman-Rupp Co.</v>
      </c>
      <c r="C141">
        <v>-3.0273950216788002E-2</v>
      </c>
      <c r="D141">
        <v>2.7229500528531E-2</v>
      </c>
      <c r="E141">
        <v>7.6601198196528011E-2</v>
      </c>
      <c r="F141">
        <v>9.539220460936601E-2</v>
      </c>
      <c r="G141">
        <v>-0.25949723340307301</v>
      </c>
      <c r="H141">
        <v>-0.101267699129302</v>
      </c>
      <c r="I141">
        <v>0.17288856927780499</v>
      </c>
    </row>
    <row r="142" spans="1:9">
      <c r="A142" s="1" t="s">
        <v>154</v>
      </c>
      <c r="B142" t="str">
        <f>HYPERLINK("https://www.suredividend.com/sure-analysis-GS/","Goldman Sachs Group, Inc.")</f>
        <v>Goldman Sachs Group, Inc.</v>
      </c>
      <c r="C142">
        <v>-2.7850111034006E-2</v>
      </c>
      <c r="D142">
        <v>-5.5003211385373008E-2</v>
      </c>
      <c r="E142">
        <v>9.2088482746598005E-2</v>
      </c>
      <c r="F142">
        <v>4.7372724958262002E-2</v>
      </c>
      <c r="G142">
        <v>0.106374830832379</v>
      </c>
      <c r="H142">
        <v>0.129304030694147</v>
      </c>
      <c r="I142">
        <v>0.51967482899455608</v>
      </c>
    </row>
    <row r="143" spans="1:9">
      <c r="A143" s="1" t="s">
        <v>155</v>
      </c>
      <c r="B143" t="str">
        <f>HYPERLINK("https://www.suredividend.com/sure-analysis-GWW/","W.W. Grainger Inc.")</f>
        <v>W.W. Grainger Inc.</v>
      </c>
      <c r="C143">
        <v>4.0331990286765013E-2</v>
      </c>
      <c r="D143">
        <v>0.20873119763467701</v>
      </c>
      <c r="E143">
        <v>0.25671014783789797</v>
      </c>
      <c r="F143">
        <v>0.26107871121054099</v>
      </c>
      <c r="G143">
        <v>0.45547462535544297</v>
      </c>
      <c r="H143">
        <v>0.80483716481273004</v>
      </c>
      <c r="I143">
        <v>1.8420053797640601</v>
      </c>
    </row>
    <row r="144" spans="1:9">
      <c r="A144" s="1" t="s">
        <v>156</v>
      </c>
      <c r="B144" t="str">
        <f>HYPERLINK("https://www.suredividend.com/sure-analysis-HBAN/","Huntington Bancshares, Inc.")</f>
        <v>Huntington Bancshares, Inc.</v>
      </c>
      <c r="C144">
        <v>-1.4886731391585001E-2</v>
      </c>
      <c r="D144">
        <v>-4.291620871931E-3</v>
      </c>
      <c r="E144">
        <v>0.168378548508436</v>
      </c>
      <c r="F144">
        <v>7.9432624113475001E-2</v>
      </c>
      <c r="G144">
        <v>7.842303658985901E-2</v>
      </c>
      <c r="H144">
        <v>4.9720327468601007E-2</v>
      </c>
      <c r="I144">
        <v>0.20005992414864299</v>
      </c>
    </row>
    <row r="145" spans="1:9">
      <c r="A145" s="1" t="s">
        <v>157</v>
      </c>
      <c r="B145" t="str">
        <f>HYPERLINK("https://www.suredividend.com/sure-analysis-research-database/","Horizon Bancorp Inc (IN)")</f>
        <v>Horizon Bancorp Inc (IN)</v>
      </c>
      <c r="C145">
        <v>-7.2303921568627E-2</v>
      </c>
      <c r="D145">
        <v>-3.1002790507155001E-2</v>
      </c>
      <c r="E145">
        <v>-0.18787716239774699</v>
      </c>
      <c r="F145">
        <v>1.4616101166741001E-2</v>
      </c>
      <c r="G145">
        <v>-0.200253552374412</v>
      </c>
      <c r="H145">
        <v>-0.119199017970899</v>
      </c>
      <c r="I145">
        <v>-9.1901488705749004E-2</v>
      </c>
    </row>
    <row r="146" spans="1:9">
      <c r="A146" s="1" t="s">
        <v>158</v>
      </c>
      <c r="B146" t="str">
        <f>HYPERLINK("https://www.suredividend.com/sure-analysis-HCSG/","Healthcare Services Group, Inc.")</f>
        <v>Healthcare Services Group, Inc.</v>
      </c>
      <c r="C146">
        <v>-7.4391988555078004E-2</v>
      </c>
      <c r="D146">
        <v>-6.2997827661115002E-2</v>
      </c>
      <c r="E146">
        <v>-4.6172897747375007E-2</v>
      </c>
      <c r="F146">
        <v>7.8333333333333005E-2</v>
      </c>
      <c r="G146">
        <v>-0.16912269887439799</v>
      </c>
      <c r="H146">
        <v>-0.49699909817458099</v>
      </c>
      <c r="I146">
        <v>-0.66104536334155806</v>
      </c>
    </row>
    <row r="147" spans="1:9">
      <c r="A147" s="1" t="s">
        <v>159</v>
      </c>
      <c r="B147" t="str">
        <f>HYPERLINK("https://www.suredividend.com/sure-analysis-HD/","Home Depot, Inc.")</f>
        <v>Home Depot, Inc.</v>
      </c>
      <c r="C147">
        <v>-9.9698340874811012E-2</v>
      </c>
      <c r="D147">
        <v>-9.0063721454922002E-2</v>
      </c>
      <c r="E147">
        <v>2.8624682787588E-2</v>
      </c>
      <c r="F147">
        <v>-5.5119356677008013E-2</v>
      </c>
      <c r="G147">
        <v>-5.6440626577802001E-2</v>
      </c>
      <c r="H147">
        <v>0.24477035874160699</v>
      </c>
      <c r="I147">
        <v>0.88193112806779306</v>
      </c>
    </row>
    <row r="148" spans="1:9">
      <c r="A148" s="1" t="s">
        <v>160</v>
      </c>
      <c r="B148" t="str">
        <f>HYPERLINK("https://www.suredividend.com/sure-analysis-HEI/","Heico Corp.")</f>
        <v>Heico Corp.</v>
      </c>
      <c r="C148">
        <v>-3.3209488425264E-2</v>
      </c>
      <c r="D148">
        <v>8.0718434319231008E-2</v>
      </c>
      <c r="E148">
        <v>9.5548629301165006E-2</v>
      </c>
      <c r="F148">
        <v>0.101610080572414</v>
      </c>
      <c r="G148">
        <v>0.182904739591711</v>
      </c>
      <c r="H148">
        <v>0.29748389076403697</v>
      </c>
      <c r="I148">
        <v>1.363627470845939</v>
      </c>
    </row>
    <row r="149" spans="1:9">
      <c r="A149" s="1" t="s">
        <v>161</v>
      </c>
      <c r="B149" t="str">
        <f>HYPERLINK("https://www.suredividend.com/sure-analysis-research-database/","Heritage Financial Corp.")</f>
        <v>Heritage Financial Corp.</v>
      </c>
      <c r="C149">
        <v>-0.10499139414802</v>
      </c>
      <c r="D149">
        <v>-0.15248988692259299</v>
      </c>
      <c r="E149">
        <v>-7.2639504360200006E-4</v>
      </c>
      <c r="F149">
        <v>-0.14502089766228901</v>
      </c>
      <c r="G149">
        <v>7.6288130611704003E-2</v>
      </c>
      <c r="H149">
        <v>-6.3589477626991006E-2</v>
      </c>
      <c r="I149">
        <v>-3.1974622842420003E-2</v>
      </c>
    </row>
    <row r="150" spans="1:9">
      <c r="A150" s="1" t="s">
        <v>162</v>
      </c>
      <c r="B150" t="str">
        <f>HYPERLINK("https://www.suredividend.com/sure-analysis-HI/","Hillenbrand Inc")</f>
        <v>Hillenbrand Inc</v>
      </c>
      <c r="C150">
        <v>6.8937550689370007E-3</v>
      </c>
      <c r="D150">
        <v>-6.0010902813530997E-2</v>
      </c>
      <c r="E150">
        <v>0.23577834625683</v>
      </c>
      <c r="F150">
        <v>0.16381532692758299</v>
      </c>
      <c r="G150">
        <v>7.5534301877311E-2</v>
      </c>
      <c r="H150">
        <v>8.9295467556937014E-2</v>
      </c>
      <c r="I150">
        <v>0.258540640269245</v>
      </c>
    </row>
    <row r="151" spans="1:9">
      <c r="A151" s="1" t="s">
        <v>163</v>
      </c>
      <c r="B151" t="str">
        <f>HYPERLINK("https://www.suredividend.com/sure-analysis-HIFS/","Hingham Institution For Savings")</f>
        <v>Hingham Institution For Savings</v>
      </c>
      <c r="C151">
        <v>-8.5060295496427005E-2</v>
      </c>
      <c r="D151">
        <v>-1.6991800391674E-2</v>
      </c>
      <c r="E151">
        <v>-3.9960702843751E-2</v>
      </c>
      <c r="F151">
        <v>2.5510943615016001E-2</v>
      </c>
      <c r="G151">
        <v>-0.21478969959463101</v>
      </c>
      <c r="H151">
        <v>7.7225250464386011E-2</v>
      </c>
      <c r="I151">
        <v>0.47546838300656602</v>
      </c>
    </row>
    <row r="152" spans="1:9">
      <c r="A152" s="1" t="s">
        <v>164</v>
      </c>
      <c r="B152" t="str">
        <f>HYPERLINK("https://www.suredividend.com/sure-analysis-research-database/","Horace Mann Educators Corp.")</f>
        <v>Horace Mann Educators Corp.</v>
      </c>
      <c r="C152">
        <v>1.1570247933884E-2</v>
      </c>
      <c r="D152">
        <v>-2.6498230358302E-2</v>
      </c>
      <c r="E152">
        <v>5.0589669201586002E-2</v>
      </c>
      <c r="F152">
        <v>-1.7393631255017E-2</v>
      </c>
      <c r="G152">
        <v>-7.718057555584E-2</v>
      </c>
      <c r="H152">
        <v>-5.2548469163960998E-2</v>
      </c>
      <c r="I152">
        <v>2.2761455931012999E-2</v>
      </c>
    </row>
    <row r="153" spans="1:9">
      <c r="A153" s="1" t="s">
        <v>165</v>
      </c>
      <c r="B153" t="str">
        <f>HYPERLINK("https://www.suredividend.com/sure-analysis-HNI/","HNI Corp.")</f>
        <v>HNI Corp.</v>
      </c>
      <c r="C153">
        <v>8.540540202458001E-3</v>
      </c>
      <c r="D153">
        <v>0.118676874087281</v>
      </c>
      <c r="E153">
        <v>6.2417436164359998E-2</v>
      </c>
      <c r="F153">
        <v>0.145827411744642</v>
      </c>
      <c r="G153">
        <v>-0.135923864845095</v>
      </c>
      <c r="H153">
        <v>-6.9677545910330999E-2</v>
      </c>
      <c r="I153">
        <v>2.4385130692483999E-2</v>
      </c>
    </row>
    <row r="154" spans="1:9">
      <c r="A154" s="1" t="s">
        <v>166</v>
      </c>
      <c r="B154" t="str">
        <f>HYPERLINK("https://www.suredividend.com/sure-analysis-research-database/","Home Bancshares Inc")</f>
        <v>Home Bancshares Inc</v>
      </c>
      <c r="C154">
        <v>-2.2863067693561001E-2</v>
      </c>
      <c r="D154">
        <v>-3.8270634296651E-2</v>
      </c>
      <c r="E154">
        <v>6.9065516678216005E-2</v>
      </c>
      <c r="F154">
        <v>7.0606072661530003E-2</v>
      </c>
      <c r="G154">
        <v>0.117988912430356</v>
      </c>
      <c r="H154">
        <v>-1.0766390563479E-2</v>
      </c>
      <c r="I154">
        <v>0.13846819151836401</v>
      </c>
    </row>
    <row r="155" spans="1:9">
      <c r="A155" s="1" t="s">
        <v>167</v>
      </c>
      <c r="B155" t="str">
        <f>HYPERLINK("https://www.suredividend.com/sure-analysis-HON/","Honeywell International Inc")</f>
        <v>Honeywell International Inc</v>
      </c>
      <c r="C155">
        <v>-2.3817329548695001E-2</v>
      </c>
      <c r="D155">
        <v>-9.6848145950661005E-2</v>
      </c>
      <c r="E155">
        <v>6.9174190324087004E-2</v>
      </c>
      <c r="F155">
        <v>-7.6703246080961004E-2</v>
      </c>
      <c r="G155">
        <v>7.6913817348150004E-2</v>
      </c>
      <c r="H155">
        <v>1.2692355978702E-2</v>
      </c>
      <c r="I155">
        <v>0.54341995890905004</v>
      </c>
    </row>
    <row r="156" spans="1:9">
      <c r="A156" s="1" t="s">
        <v>168</v>
      </c>
      <c r="B156" t="str">
        <f>HYPERLINK("https://www.suredividend.com/sure-analysis-HPQ/","HP Inc")</f>
        <v>HP Inc</v>
      </c>
      <c r="C156">
        <v>-6.2274664044574997E-2</v>
      </c>
      <c r="D156">
        <v>-2.5939758749008002E-2</v>
      </c>
      <c r="E156">
        <v>5.3783084958268002E-2</v>
      </c>
      <c r="F156">
        <v>6.47562337179E-2</v>
      </c>
      <c r="G156">
        <v>-0.187924168409937</v>
      </c>
      <c r="H156">
        <v>7.2435301526374007E-2</v>
      </c>
      <c r="I156">
        <v>0.39109040872093498</v>
      </c>
    </row>
    <row r="157" spans="1:9">
      <c r="A157" s="1" t="s">
        <v>169</v>
      </c>
      <c r="B157" t="str">
        <f>HYPERLINK("https://www.suredividend.com/sure-analysis-HRL/","Hormel Foods Corp.")</f>
        <v>Hormel Foods Corp.</v>
      </c>
      <c r="C157">
        <v>-0.101900972590627</v>
      </c>
      <c r="D157">
        <v>-0.142074056555964</v>
      </c>
      <c r="E157">
        <v>-0.113948066845345</v>
      </c>
      <c r="F157">
        <v>-0.10271019946644</v>
      </c>
      <c r="G157">
        <v>-0.19717043579635801</v>
      </c>
      <c r="H157">
        <v>-9.6546954876267008E-2</v>
      </c>
      <c r="I157">
        <v>0.38009979653463399</v>
      </c>
    </row>
    <row r="158" spans="1:9">
      <c r="A158" s="1" t="s">
        <v>170</v>
      </c>
      <c r="B158" t="str">
        <f>HYPERLINK("https://www.suredividend.com/sure-analysis-HSY/","Hershey Company")</f>
        <v>Hershey Company</v>
      </c>
      <c r="C158">
        <v>1.3393456810904999E-2</v>
      </c>
      <c r="D158">
        <v>2.0085064140414999E-2</v>
      </c>
      <c r="E158">
        <v>7.3695408285739006E-2</v>
      </c>
      <c r="F158">
        <v>3.4005509202171998E-2</v>
      </c>
      <c r="G158">
        <v>0.14040303488800901</v>
      </c>
      <c r="H158">
        <v>0.69351980047154305</v>
      </c>
      <c r="I158">
        <v>1.6839653336155389</v>
      </c>
    </row>
    <row r="159" spans="1:9">
      <c r="A159" s="1" t="s">
        <v>171</v>
      </c>
      <c r="B159" t="str">
        <f>HYPERLINK("https://www.suredividend.com/sure-analysis-HUBB/","Hubbell Inc.")</f>
        <v>Hubbell Inc.</v>
      </c>
      <c r="C159">
        <v>5.3613364201129013E-2</v>
      </c>
      <c r="D159">
        <v>1.7140734749923E-2</v>
      </c>
      <c r="E159">
        <v>0.237322505294462</v>
      </c>
      <c r="F159">
        <v>8.3019820837773012E-2</v>
      </c>
      <c r="G159">
        <v>0.42655314677193301</v>
      </c>
      <c r="H159">
        <v>0.50688741161834905</v>
      </c>
      <c r="I159">
        <v>1.21060696466995</v>
      </c>
    </row>
    <row r="160" spans="1:9">
      <c r="A160" s="1" t="s">
        <v>172</v>
      </c>
      <c r="B160" t="str">
        <f>HYPERLINK("https://www.suredividend.com/sure-analysis-HUM/","Humana Inc.")</f>
        <v>Humana Inc.</v>
      </c>
      <c r="C160">
        <v>4.9604465241202003E-2</v>
      </c>
      <c r="D160">
        <v>-8.3771167906475E-2</v>
      </c>
      <c r="E160">
        <v>3.5870814043161003E-2</v>
      </c>
      <c r="F160">
        <v>-2.3389757707101E-2</v>
      </c>
      <c r="G160">
        <v>0.140795060332985</v>
      </c>
      <c r="H160">
        <v>0.30433875623538098</v>
      </c>
      <c r="I160">
        <v>0.91919955401180209</v>
      </c>
    </row>
    <row r="161" spans="1:9">
      <c r="A161" s="1" t="s">
        <v>173</v>
      </c>
      <c r="B161" t="str">
        <f>HYPERLINK("https://www.suredividend.com/sure-analysis-HWKN/","Hawkins Inc")</f>
        <v>Hawkins Inc</v>
      </c>
      <c r="C161">
        <v>-8.3566246012250003E-3</v>
      </c>
      <c r="D161">
        <v>1.1803170076551E-2</v>
      </c>
      <c r="E161">
        <v>0.117245876262699</v>
      </c>
      <c r="F161">
        <v>9.5946687328880009E-2</v>
      </c>
      <c r="G161">
        <v>-7.9613940082103013E-2</v>
      </c>
      <c r="H161">
        <v>0.40858720207461602</v>
      </c>
      <c r="I161">
        <v>1.7465724860553611</v>
      </c>
    </row>
    <row r="162" spans="1:9">
      <c r="A162" s="1" t="s">
        <v>174</v>
      </c>
      <c r="B162" t="str">
        <f>HYPERLINK("https://www.suredividend.com/sure-analysis-IBM/","International Business Machines Corp.")</f>
        <v>International Business Machines Corp.</v>
      </c>
      <c r="C162">
        <v>-4.1679972560289998E-2</v>
      </c>
      <c r="D162">
        <v>-0.11729059142347401</v>
      </c>
      <c r="E162">
        <v>3.9181736565345002E-2</v>
      </c>
      <c r="F162">
        <v>-6.8547008055732009E-2</v>
      </c>
      <c r="G162">
        <v>7.4880999463554004E-2</v>
      </c>
      <c r="H162">
        <v>0.18860428847400401</v>
      </c>
      <c r="I162">
        <v>6.9014254073122006E-2</v>
      </c>
    </row>
    <row r="163" spans="1:9">
      <c r="A163" s="1" t="s">
        <v>175</v>
      </c>
      <c r="B163" t="str">
        <f>HYPERLINK("https://www.suredividend.com/sure-analysis-research-database/","International Bancshares Corp.")</f>
        <v>International Bancshares Corp.</v>
      </c>
      <c r="C163">
        <v>3.1741202292197998E-2</v>
      </c>
      <c r="D163">
        <v>-5.0783195561441001E-2</v>
      </c>
      <c r="E163">
        <v>0.215397506914936</v>
      </c>
      <c r="F163">
        <v>8.9234368146595008E-2</v>
      </c>
      <c r="G163">
        <v>0.22680558986219901</v>
      </c>
      <c r="H163">
        <v>0.11188498084672401</v>
      </c>
      <c r="I163">
        <v>0.44795660547378802</v>
      </c>
    </row>
    <row r="164" spans="1:9">
      <c r="A164" s="1" t="s">
        <v>176</v>
      </c>
      <c r="B164" t="str">
        <f>HYPERLINK("https://www.suredividend.com/sure-analysis-IDA/","Idacorp, Inc.")</f>
        <v>Idacorp, Inc.</v>
      </c>
      <c r="C164">
        <v>-2.7246158197416E-2</v>
      </c>
      <c r="D164">
        <v>-4.3167802661473013E-2</v>
      </c>
      <c r="E164">
        <v>-4.0486842729302003E-2</v>
      </c>
      <c r="F164">
        <v>-3.6336772185828002E-2</v>
      </c>
      <c r="G164">
        <v>-4.1191234863543001E-2</v>
      </c>
      <c r="H164">
        <v>0.25113375660246401</v>
      </c>
      <c r="I164">
        <v>0.45090572628251402</v>
      </c>
    </row>
    <row r="165" spans="1:9">
      <c r="A165" s="1" t="s">
        <v>177</v>
      </c>
      <c r="B165" t="str">
        <f>HYPERLINK("https://www.suredividend.com/sure-analysis-IEX/","Idex Corporation")</f>
        <v>Idex Corporation</v>
      </c>
      <c r="C165">
        <v>-6.9613644274270003E-3</v>
      </c>
      <c r="D165">
        <v>-5.3824705522423001E-2</v>
      </c>
      <c r="E165">
        <v>0.14743631637952201</v>
      </c>
      <c r="F165">
        <v>2.1594023575150002E-3</v>
      </c>
      <c r="G165">
        <v>0.202207840160715</v>
      </c>
      <c r="H165">
        <v>0.19566868703801599</v>
      </c>
      <c r="I165">
        <v>0.76030566260962307</v>
      </c>
    </row>
    <row r="166" spans="1:9">
      <c r="A166" s="1" t="s">
        <v>178</v>
      </c>
      <c r="B166" t="str">
        <f>HYPERLINK("https://www.suredividend.com/sure-analysis-IFF/","International Flavors &amp; Fragrances Inc.")</f>
        <v>International Flavors &amp; Fragrances Inc.</v>
      </c>
      <c r="C166">
        <v>-0.17250507367863699</v>
      </c>
      <c r="D166">
        <v>-0.124601062464353</v>
      </c>
      <c r="E166">
        <v>-0.116244311611991</v>
      </c>
      <c r="F166">
        <v>-0.10549408622663101</v>
      </c>
      <c r="G166">
        <v>-0.23990244685274301</v>
      </c>
      <c r="H166">
        <v>-0.25457722017235801</v>
      </c>
      <c r="I166">
        <v>-0.23953879300907599</v>
      </c>
    </row>
    <row r="167" spans="1:9">
      <c r="A167" s="1" t="s">
        <v>179</v>
      </c>
      <c r="B167" t="str">
        <f>HYPERLINK("https://www.suredividend.com/sure-analysis-research-database/","Independent Bank Corp.")</f>
        <v>Independent Bank Corp.</v>
      </c>
      <c r="C167">
        <v>-5.7287889775198997E-2</v>
      </c>
      <c r="D167">
        <v>-0.14204349839463101</v>
      </c>
      <c r="E167">
        <v>2.7770896690577002E-2</v>
      </c>
      <c r="F167">
        <v>-7.6157763828023001E-2</v>
      </c>
      <c r="G167">
        <v>-3.9272803414275997E-2</v>
      </c>
      <c r="H167">
        <v>-6.5085622575065005E-2</v>
      </c>
      <c r="I167">
        <v>0.23804807435907199</v>
      </c>
    </row>
    <row r="168" spans="1:9">
      <c r="A168" s="1" t="s">
        <v>180</v>
      </c>
      <c r="B168" t="str">
        <f>HYPERLINK("https://www.suredividend.com/sure-analysis-INGR/","Ingredion Inc")</f>
        <v>Ingredion Inc</v>
      </c>
      <c r="C168">
        <v>-1.7605633802816E-2</v>
      </c>
      <c r="D168">
        <v>7.1909260561010008E-3</v>
      </c>
      <c r="E168">
        <v>0.19327942745398</v>
      </c>
      <c r="F168">
        <v>2.5630552435413002E-2</v>
      </c>
      <c r="G168">
        <v>0.21495247968123801</v>
      </c>
      <c r="H168">
        <v>0.19527744026885399</v>
      </c>
      <c r="I168">
        <v>-0.11633824080574701</v>
      </c>
    </row>
    <row r="169" spans="1:9">
      <c r="A169" s="1" t="s">
        <v>181</v>
      </c>
      <c r="B169" t="str">
        <f>HYPERLINK("https://www.suredividend.com/sure-analysis-INTU/","Intuit Inc")</f>
        <v>Intuit Inc</v>
      </c>
      <c r="C169">
        <v>-3.5963753067774003E-2</v>
      </c>
      <c r="D169">
        <v>3.4959744218080002E-3</v>
      </c>
      <c r="E169">
        <v>-2.3664403638721E-2</v>
      </c>
      <c r="F169">
        <v>5.1708575909561003E-2</v>
      </c>
      <c r="G169">
        <v>-0.115249897722697</v>
      </c>
      <c r="H169">
        <v>9.8612964827012012E-2</v>
      </c>
      <c r="I169">
        <v>1.511176802165223</v>
      </c>
    </row>
    <row r="170" spans="1:9">
      <c r="A170" s="1" t="s">
        <v>182</v>
      </c>
      <c r="B170" t="str">
        <f>HYPERLINK("https://www.suredividend.com/sure-analysis-ITT/","ITT Inc")</f>
        <v>ITT Inc</v>
      </c>
      <c r="C170">
        <v>1.547619047619E-2</v>
      </c>
      <c r="D170">
        <v>0.107138643067846</v>
      </c>
      <c r="E170">
        <v>0.30776070891975599</v>
      </c>
      <c r="F170">
        <v>0.156966707768187</v>
      </c>
      <c r="G170">
        <v>0.19129086770107301</v>
      </c>
      <c r="H170">
        <v>0.14020249743597199</v>
      </c>
      <c r="I170">
        <v>1.0002003824320029</v>
      </c>
    </row>
    <row r="171" spans="1:9">
      <c r="A171" s="1" t="s">
        <v>183</v>
      </c>
      <c r="B171" t="str">
        <f>HYPERLINK("https://www.suredividend.com/sure-analysis-ITW/","Illinois Tool Works, Inc.")</f>
        <v>Illinois Tool Works, Inc.</v>
      </c>
      <c r="C171">
        <v>-3.1613504640700001E-2</v>
      </c>
      <c r="D171">
        <v>5.2864431971860998E-2</v>
      </c>
      <c r="E171">
        <v>0.23869360931977801</v>
      </c>
      <c r="F171">
        <v>8.4566500226963007E-2</v>
      </c>
      <c r="G171">
        <v>0.15510777315545601</v>
      </c>
      <c r="H171">
        <v>0.226565856878917</v>
      </c>
      <c r="I171">
        <v>0.70509487458171805</v>
      </c>
    </row>
    <row r="172" spans="1:9">
      <c r="A172" s="1" t="s">
        <v>184</v>
      </c>
      <c r="B172" t="str">
        <f>HYPERLINK("https://www.suredividend.com/sure-analysis-JBHT/","J.B. Hunt Transport Services, Inc.")</f>
        <v>J.B. Hunt Transport Services, Inc.</v>
      </c>
      <c r="C172">
        <v>-5.4842337837146003E-2</v>
      </c>
      <c r="D172">
        <v>2.2732565626344001E-2</v>
      </c>
      <c r="E172">
        <v>0.111085975813758</v>
      </c>
      <c r="F172">
        <v>7.2707794029068004E-2</v>
      </c>
      <c r="G172">
        <v>-7.603731692405101E-2</v>
      </c>
      <c r="H172">
        <v>0.27062882647243203</v>
      </c>
      <c r="I172">
        <v>0.62041177073222309</v>
      </c>
    </row>
    <row r="173" spans="1:9">
      <c r="A173" s="1" t="s">
        <v>185</v>
      </c>
      <c r="B173" t="str">
        <f>HYPERLINK("https://www.suredividend.com/sure-analysis-JJSF/","J&amp;J Snack Foods Corp.")</f>
        <v>J&amp;J Snack Foods Corp.</v>
      </c>
      <c r="C173">
        <v>1.7064363095659001E-2</v>
      </c>
      <c r="D173">
        <v>-0.119158846983591</v>
      </c>
      <c r="E173">
        <v>3.581424660826E-3</v>
      </c>
      <c r="F173">
        <v>-4.0545053770623E-2</v>
      </c>
      <c r="G173">
        <v>-0.106182239510055</v>
      </c>
      <c r="H173">
        <v>-4.2545533078972013E-2</v>
      </c>
      <c r="I173">
        <v>0.129227527869058</v>
      </c>
    </row>
    <row r="174" spans="1:9">
      <c r="A174" s="1" t="s">
        <v>186</v>
      </c>
      <c r="B174" t="str">
        <f>HYPERLINK("https://www.suredividend.com/sure-analysis-JKHY/","Jack Henry &amp; Associates, Inc.")</f>
        <v>Jack Henry &amp; Associates, Inc.</v>
      </c>
      <c r="C174">
        <v>-8.1018262313226008E-2</v>
      </c>
      <c r="D174">
        <v>-0.13329853862212901</v>
      </c>
      <c r="E174">
        <v>-0.12697044127790499</v>
      </c>
      <c r="F174">
        <v>-5.4112554112554001E-2</v>
      </c>
      <c r="G174">
        <v>-9.4566197646940006E-2</v>
      </c>
      <c r="H174">
        <v>0.152776562940378</v>
      </c>
      <c r="I174">
        <v>0.46117580392826202</v>
      </c>
    </row>
    <row r="175" spans="1:9">
      <c r="A175" s="1" t="s">
        <v>187</v>
      </c>
      <c r="B175" t="str">
        <f>HYPERLINK("https://www.suredividend.com/sure-analysis-JNJ/","Johnson &amp; Johnson")</f>
        <v>Johnson &amp; Johnson</v>
      </c>
      <c r="C175">
        <v>-5.7604116633880008E-2</v>
      </c>
      <c r="D175">
        <v>-0.13278296601513701</v>
      </c>
      <c r="E175">
        <v>-4.0622492861663001E-2</v>
      </c>
      <c r="F175">
        <v>-0.121835240052797</v>
      </c>
      <c r="G175">
        <v>-6.6626912560358006E-2</v>
      </c>
      <c r="H175">
        <v>5.9673910500830013E-2</v>
      </c>
      <c r="I175">
        <v>0.36568825740412803</v>
      </c>
    </row>
    <row r="176" spans="1:9">
      <c r="A176" s="1" t="s">
        <v>188</v>
      </c>
      <c r="B176" t="str">
        <f>HYPERLINK("https://www.suredividend.com/sure-analysis-JPM/","JPMorgan Chase &amp; Co.")</f>
        <v>JPMorgan Chase &amp; Co.</v>
      </c>
      <c r="C176">
        <v>1.8215323552342001E-2</v>
      </c>
      <c r="D176">
        <v>7.0739940478009009E-2</v>
      </c>
      <c r="E176">
        <v>0.28410828842470098</v>
      </c>
      <c r="F176">
        <v>7.9203435782287002E-2</v>
      </c>
      <c r="G176">
        <v>9.4481500245698014E-2</v>
      </c>
      <c r="H176">
        <v>3.41896053851E-4</v>
      </c>
      <c r="I176">
        <v>0.44790232555326798</v>
      </c>
    </row>
    <row r="177" spans="1:9">
      <c r="A177" s="1" t="s">
        <v>189</v>
      </c>
      <c r="B177" t="str">
        <f>HYPERLINK("https://www.suredividend.com/sure-analysis-K/","Kellogg Co")</f>
        <v>Kellogg Co</v>
      </c>
      <c r="C177">
        <v>-2.5054051755394002E-2</v>
      </c>
      <c r="D177">
        <v>-0.10719165728402601</v>
      </c>
      <c r="E177">
        <v>-8.5864902752478003E-2</v>
      </c>
      <c r="F177">
        <v>-7.4732289775607003E-2</v>
      </c>
      <c r="G177">
        <v>3.1526766967146999E-2</v>
      </c>
      <c r="H177">
        <v>0.20382926038381</v>
      </c>
      <c r="I177">
        <v>0.13429032207665001</v>
      </c>
    </row>
    <row r="178" spans="1:9">
      <c r="A178" s="1" t="s">
        <v>190</v>
      </c>
      <c r="B178" t="str">
        <f>HYPERLINK("https://www.suredividend.com/sure-analysis-KALU/","Kaiser Aluminum Corp")</f>
        <v>Kaiser Aluminum Corp</v>
      </c>
      <c r="C178">
        <v>-0.102108177172061</v>
      </c>
      <c r="D178">
        <v>-5.2303667392637997E-2</v>
      </c>
      <c r="E178">
        <v>0.236173125804399</v>
      </c>
      <c r="F178">
        <v>0.120243151080723</v>
      </c>
      <c r="G178">
        <v>-7.9792759683290013E-2</v>
      </c>
      <c r="H178">
        <v>-0.19278725306449801</v>
      </c>
      <c r="I178">
        <v>-3.1510088580133003E-2</v>
      </c>
    </row>
    <row r="179" spans="1:9">
      <c r="A179" s="1" t="s">
        <v>191</v>
      </c>
      <c r="B179" t="str">
        <f>HYPERLINK("https://www.suredividend.com/sure-analysis-KEY/","Keycorp")</f>
        <v>Keycorp</v>
      </c>
      <c r="C179">
        <v>-7.4560517276217E-2</v>
      </c>
      <c r="D179">
        <v>-1.221214235868E-3</v>
      </c>
      <c r="E179">
        <v>6.7182393820594002E-2</v>
      </c>
      <c r="F179">
        <v>6.356421733400601E-2</v>
      </c>
      <c r="G179">
        <v>-0.17672171666104899</v>
      </c>
      <c r="H179">
        <v>-2.3657128848480001E-2</v>
      </c>
      <c r="I179">
        <v>5.1495741212663003E-2</v>
      </c>
    </row>
    <row r="180" spans="1:9">
      <c r="A180" s="1" t="s">
        <v>192</v>
      </c>
      <c r="B180" t="str">
        <f>HYPERLINK("https://www.suredividend.com/sure-analysis-KLAC/","KLA Corp.")</f>
        <v>KLA Corp.</v>
      </c>
      <c r="C180">
        <v>-6.2477116657009002E-2</v>
      </c>
      <c r="D180">
        <v>-1.7449396184501E-2</v>
      </c>
      <c r="E180">
        <v>0.145639749702652</v>
      </c>
      <c r="F180">
        <v>1.5204248887753E-2</v>
      </c>
      <c r="G180">
        <v>0.16442777376779499</v>
      </c>
      <c r="H180">
        <v>0.36003327987497902</v>
      </c>
      <c r="I180">
        <v>2.6987630718938398</v>
      </c>
    </row>
    <row r="181" spans="1:9">
      <c r="A181" s="1" t="s">
        <v>193</v>
      </c>
      <c r="B181" t="str">
        <f>HYPERLINK("https://www.suredividend.com/sure-analysis-KMB/","Kimberly-Clark Corp.")</f>
        <v>Kimberly-Clark Corp.</v>
      </c>
      <c r="C181">
        <v>-3.6340088374219003E-2</v>
      </c>
      <c r="D181">
        <v>-7.5092351834898E-2</v>
      </c>
      <c r="E181">
        <v>1.7903644785507E-2</v>
      </c>
      <c r="F181">
        <v>-6.8213627992633002E-2</v>
      </c>
      <c r="G181">
        <v>5.9342886090600006E-3</v>
      </c>
      <c r="H181">
        <v>4.4557836330859003E-2</v>
      </c>
      <c r="I181">
        <v>0.31618378499868799</v>
      </c>
    </row>
    <row r="182" spans="1:9">
      <c r="A182" s="1" t="s">
        <v>194</v>
      </c>
      <c r="B182" t="str">
        <f>HYPERLINK("https://www.suredividend.com/sure-analysis-KO/","Coca-Cola Co")</f>
        <v>Coca-Cola Co</v>
      </c>
      <c r="C182">
        <v>-6.5184689954869996E-3</v>
      </c>
      <c r="D182">
        <v>-7.6301476301476004E-2</v>
      </c>
      <c r="E182">
        <v>-1.3933334328689999E-2</v>
      </c>
      <c r="F182">
        <v>-6.5555730231095011E-2</v>
      </c>
      <c r="G182">
        <v>-2.1917988547356999E-2</v>
      </c>
      <c r="H182">
        <v>0.26407570843744999</v>
      </c>
      <c r="I182">
        <v>0.58210917724467004</v>
      </c>
    </row>
    <row r="183" spans="1:9">
      <c r="A183" s="1" t="s">
        <v>195</v>
      </c>
      <c r="B183" t="str">
        <f>HYPERLINK("https://www.suredividend.com/sure-analysis-KR/","Kroger Co.")</f>
        <v>Kroger Co.</v>
      </c>
      <c r="C183">
        <v>4.1150110840143E-2</v>
      </c>
      <c r="D183">
        <v>-2.7793929526689E-2</v>
      </c>
      <c r="E183">
        <v>-3.9756743944181001E-2</v>
      </c>
      <c r="F183">
        <v>3.7412740457290997E-2</v>
      </c>
      <c r="G183">
        <v>-0.20353507095951601</v>
      </c>
      <c r="H183">
        <v>0.40395660497766411</v>
      </c>
      <c r="I183">
        <v>0.86567769788843207</v>
      </c>
    </row>
    <row r="184" spans="1:9">
      <c r="A184" s="1" t="s">
        <v>196</v>
      </c>
      <c r="B184" t="str">
        <f>HYPERLINK("https://www.suredividend.com/sure-analysis-research-database/","Kennedy-Wilson Holdings Inc")</f>
        <v>Kennedy-Wilson Holdings Inc</v>
      </c>
      <c r="C184">
        <v>-8.0308030803080008E-2</v>
      </c>
      <c r="D184">
        <v>-5.0165731390180001E-3</v>
      </c>
      <c r="E184">
        <v>-2.4173874473275E-2</v>
      </c>
      <c r="F184">
        <v>6.2937062937061999E-2</v>
      </c>
      <c r="G184">
        <v>-0.19839679358717399</v>
      </c>
      <c r="H184">
        <v>-7.0822033521540012E-2</v>
      </c>
      <c r="I184">
        <v>0.28478011971814698</v>
      </c>
    </row>
    <row r="185" spans="1:9">
      <c r="A185" s="1" t="s">
        <v>197</v>
      </c>
      <c r="B185" t="str">
        <f>HYPERLINK("https://www.suredividend.com/sure-analysis-KWR/","Quaker Houghton")</f>
        <v>Quaker Houghton</v>
      </c>
      <c r="C185">
        <v>-4.8718925611962997E-2</v>
      </c>
      <c r="D185">
        <v>3.5093692172722013E-2</v>
      </c>
      <c r="E185">
        <v>0.19226398246610901</v>
      </c>
      <c r="F185">
        <v>0.19956785530479201</v>
      </c>
      <c r="G185">
        <v>0.13448423137912299</v>
      </c>
      <c r="H185">
        <v>-0.21244723692189199</v>
      </c>
      <c r="I185">
        <v>0.40372945793906501</v>
      </c>
    </row>
    <row r="186" spans="1:9">
      <c r="A186" s="1" t="s">
        <v>198</v>
      </c>
      <c r="B186" t="str">
        <f>HYPERLINK("https://www.suredividend.com/sure-analysis-LAD/","Lithia Motors, Inc.")</f>
        <v>Lithia Motors, Inc.</v>
      </c>
      <c r="C186">
        <v>-9.4599266993983008E-2</v>
      </c>
      <c r="D186">
        <v>0.14314401711267299</v>
      </c>
      <c r="E186">
        <v>3.3000715991865E-2</v>
      </c>
      <c r="F186">
        <v>0.27898798476115999</v>
      </c>
      <c r="G186">
        <v>-0.213074751287325</v>
      </c>
      <c r="H186">
        <v>-0.25975239330989802</v>
      </c>
      <c r="I186">
        <v>1.647818679124134</v>
      </c>
    </row>
    <row r="187" spans="1:9">
      <c r="A187" s="1" t="s">
        <v>199</v>
      </c>
      <c r="B187" t="str">
        <f>HYPERLINK("https://www.suredividend.com/sure-analysis-LANC/","Lancaster Colony Corp.")</f>
        <v>Lancaster Colony Corp.</v>
      </c>
      <c r="C187">
        <v>2.0399398754561999E-2</v>
      </c>
      <c r="D187">
        <v>-6.5900044228217006E-2</v>
      </c>
      <c r="E187">
        <v>0.13972823525602501</v>
      </c>
      <c r="F187">
        <v>-3.6594019260010012E-2</v>
      </c>
      <c r="G187">
        <v>0.192970960872586</v>
      </c>
      <c r="H187">
        <v>0.126705128440709</v>
      </c>
      <c r="I187">
        <v>0.72353135325501505</v>
      </c>
    </row>
    <row r="188" spans="1:9">
      <c r="A188" s="1" t="s">
        <v>200</v>
      </c>
      <c r="B188" t="str">
        <f>HYPERLINK("https://www.suredividend.com/sure-analysis-research-database/","Lakeland Bancorp, Inc.")</f>
        <v>Lakeland Bancorp, Inc.</v>
      </c>
      <c r="C188">
        <v>-2.7300303336703E-2</v>
      </c>
      <c r="D188">
        <v>3.7582712707152001E-2</v>
      </c>
      <c r="E188">
        <v>0.208337781908847</v>
      </c>
      <c r="F188">
        <v>0.100623534122761</v>
      </c>
      <c r="G188">
        <v>0.14292503267197301</v>
      </c>
      <c r="H188">
        <v>0.22988020813357299</v>
      </c>
      <c r="I188">
        <v>0.14014814814814799</v>
      </c>
    </row>
    <row r="189" spans="1:9">
      <c r="A189" s="1" t="s">
        <v>201</v>
      </c>
      <c r="B189" t="str">
        <f>HYPERLINK("https://www.suredividend.com/sure-analysis-LECO/","Lincoln Electric Holdings, Inc.")</f>
        <v>Lincoln Electric Holdings, Inc.</v>
      </c>
      <c r="C189">
        <v>-6.0744985673350004E-3</v>
      </c>
      <c r="D189">
        <v>0.17534645749330799</v>
      </c>
      <c r="E189">
        <v>0.29132746736315701</v>
      </c>
      <c r="F189">
        <v>0.20035988649733499</v>
      </c>
      <c r="G189">
        <v>0.37427201774890001</v>
      </c>
      <c r="H189">
        <v>0.55647470683730704</v>
      </c>
      <c r="I189">
        <v>1.204212455376263</v>
      </c>
    </row>
    <row r="190" spans="1:9">
      <c r="A190" s="1" t="s">
        <v>202</v>
      </c>
      <c r="B190" t="str">
        <f>HYPERLINK("https://www.suredividend.com/sure-analysis-LEG/","Leggett &amp; Platt, Inc.")</f>
        <v>Leggett &amp; Platt, Inc.</v>
      </c>
      <c r="C190">
        <v>-6.6344345957561002E-2</v>
      </c>
      <c r="D190">
        <v>-2.5681860571880001E-3</v>
      </c>
      <c r="E190">
        <v>-5.5075300386015998E-2</v>
      </c>
      <c r="F190">
        <v>7.8498293515358003E-2</v>
      </c>
      <c r="G190">
        <v>-2.1550656428040001E-2</v>
      </c>
      <c r="H190">
        <v>-0.14467872548271701</v>
      </c>
      <c r="I190">
        <v>1.3816013976427E-2</v>
      </c>
    </row>
    <row r="191" spans="1:9">
      <c r="A191" s="1" t="s">
        <v>203</v>
      </c>
      <c r="B191" t="str">
        <f>HYPERLINK("https://www.suredividend.com/sure-analysis-research-database/","Littelfuse, Inc.")</f>
        <v>Littelfuse, Inc.</v>
      </c>
      <c r="C191">
        <v>7.8501989595830008E-3</v>
      </c>
      <c r="D191">
        <v>0.10573107839161799</v>
      </c>
      <c r="E191">
        <v>0.206889919489087</v>
      </c>
      <c r="F191">
        <v>0.24246616059475901</v>
      </c>
      <c r="G191">
        <v>0.123308360408483</v>
      </c>
      <c r="H191">
        <v>0.10333275531243601</v>
      </c>
      <c r="I191">
        <v>0.36076329568335502</v>
      </c>
    </row>
    <row r="192" spans="1:9">
      <c r="A192" s="1" t="s">
        <v>204</v>
      </c>
      <c r="B192" t="str">
        <f>HYPERLINK("https://www.suredividend.com/sure-analysis-LHX/","L3Harris Technologies Inc")</f>
        <v>L3Harris Technologies Inc</v>
      </c>
      <c r="C192">
        <v>1.5216876036975E-2</v>
      </c>
      <c r="D192">
        <v>-6.8869565217391002E-2</v>
      </c>
      <c r="E192">
        <v>-5.2604011834487013E-2</v>
      </c>
      <c r="F192">
        <v>2.8576917535180001E-2</v>
      </c>
      <c r="G192">
        <v>-0.182124360939182</v>
      </c>
      <c r="H192">
        <v>0.21085540692510199</v>
      </c>
      <c r="I192">
        <v>0.43382853845028502</v>
      </c>
    </row>
    <row r="193" spans="1:9">
      <c r="A193" s="1" t="s">
        <v>205</v>
      </c>
      <c r="B193" t="str">
        <f>HYPERLINK("https://www.suredividend.com/sure-analysis-LII/","Lennox International Inc")</f>
        <v>Lennox International Inc</v>
      </c>
      <c r="C193">
        <v>-4.5307325594090002E-2</v>
      </c>
      <c r="D193">
        <v>-9.7100059151650001E-3</v>
      </c>
      <c r="E193">
        <v>7.1599548387413003E-2</v>
      </c>
      <c r="F193">
        <v>9.6601596789700012E-2</v>
      </c>
      <c r="G193">
        <v>-9.9107055244820001E-3</v>
      </c>
      <c r="H193">
        <v>-3.0395049152916999E-2</v>
      </c>
      <c r="I193">
        <v>0.41508390766839098</v>
      </c>
    </row>
    <row r="194" spans="1:9">
      <c r="A194" s="1" t="s">
        <v>206</v>
      </c>
      <c r="B194" t="str">
        <f>HYPERLINK("https://www.suredividend.com/sure-analysis-research-database/","Lakeland Financial Corp.")</f>
        <v>Lakeland Financial Corp.</v>
      </c>
      <c r="C194">
        <v>-2.2279934390376999E-2</v>
      </c>
      <c r="D194">
        <v>-7.2925617606766011E-2</v>
      </c>
      <c r="E194">
        <v>-3.8682512569161998E-2</v>
      </c>
      <c r="F194">
        <v>-1.3594278764076E-2</v>
      </c>
      <c r="G194">
        <v>-7.1563467391798002E-2</v>
      </c>
      <c r="H194">
        <v>7.1597643773556999E-2</v>
      </c>
      <c r="I194">
        <v>0.73900147813910011</v>
      </c>
    </row>
    <row r="195" spans="1:9">
      <c r="A195" s="1" t="s">
        <v>207</v>
      </c>
      <c r="B195" t="str">
        <f>HYPERLINK("https://www.suredividend.com/sure-analysis-research-database/","Lemaitre Vascular Inc")</f>
        <v>Lemaitre Vascular Inc</v>
      </c>
      <c r="C195">
        <v>1.2987012987013E-2</v>
      </c>
      <c r="D195">
        <v>7.483570065719701E-2</v>
      </c>
      <c r="E195">
        <v>3.2002247200158998E-2</v>
      </c>
      <c r="F195">
        <v>0.101694915254237</v>
      </c>
      <c r="G195">
        <v>5.7605056478613012E-2</v>
      </c>
      <c r="H195">
        <v>0.103940217391304</v>
      </c>
      <c r="I195">
        <v>0.51842323576890004</v>
      </c>
    </row>
    <row r="196" spans="1:9">
      <c r="A196" s="1" t="s">
        <v>208</v>
      </c>
      <c r="B196" t="str">
        <f>HYPERLINK("https://www.suredividend.com/sure-analysis-LMT/","Lockheed Martin Corp.")</f>
        <v>Lockheed Martin Corp.</v>
      </c>
      <c r="C196">
        <v>4.7527255677621998E-2</v>
      </c>
      <c r="D196">
        <v>-3.0895393118138E-2</v>
      </c>
      <c r="E196">
        <v>0.156073139666669</v>
      </c>
      <c r="F196">
        <v>-1.1492902416028E-2</v>
      </c>
      <c r="G196">
        <v>6.3201877539451001E-2</v>
      </c>
      <c r="H196">
        <v>0.48251256237757911</v>
      </c>
      <c r="I196">
        <v>0.57724989719112207</v>
      </c>
    </row>
    <row r="197" spans="1:9">
      <c r="A197" s="1" t="s">
        <v>209</v>
      </c>
      <c r="B197" t="str">
        <f>HYPERLINK("https://www.suredividend.com/sure-analysis-LNC/","Lincoln National Corp.")</f>
        <v>Lincoln National Corp.</v>
      </c>
      <c r="C197">
        <v>-0.109441451658633</v>
      </c>
      <c r="D197">
        <v>-0.179308434754889</v>
      </c>
      <c r="E197">
        <v>-0.30380083517301898</v>
      </c>
      <c r="F197">
        <v>3.7085462973968003E-2</v>
      </c>
      <c r="G197">
        <v>-0.47003710246455499</v>
      </c>
      <c r="H197">
        <v>-0.40869951543857103</v>
      </c>
      <c r="I197">
        <v>-0.50208139804003005</v>
      </c>
    </row>
    <row r="198" spans="1:9">
      <c r="A198" s="1" t="s">
        <v>210</v>
      </c>
      <c r="B198" t="str">
        <f>HYPERLINK("https://www.suredividend.com/sure-analysis-LNN/","Lindsay Corporation")</f>
        <v>Lindsay Corporation</v>
      </c>
      <c r="C198">
        <v>-0.122624117983599</v>
      </c>
      <c r="D198">
        <v>-0.16356635139303499</v>
      </c>
      <c r="E198">
        <v>-8.289311937273601E-2</v>
      </c>
      <c r="F198">
        <v>-0.150623155334667</v>
      </c>
      <c r="G198">
        <v>-6.6471150022049008E-2</v>
      </c>
      <c r="H198">
        <v>-0.174829489472828</v>
      </c>
      <c r="I198">
        <v>0.5759665669460361</v>
      </c>
    </row>
    <row r="199" spans="1:9">
      <c r="A199" s="1" t="s">
        <v>211</v>
      </c>
      <c r="B199" t="str">
        <f>HYPERLINK("https://www.suredividend.com/sure-analysis-LNT/","Alliant Energy Corp.")</f>
        <v>Alliant Energy Corp.</v>
      </c>
      <c r="C199">
        <v>-2.3809523809523E-2</v>
      </c>
      <c r="D199">
        <v>-4.1849835217308E-2</v>
      </c>
      <c r="E199">
        <v>-0.13886343865869699</v>
      </c>
      <c r="F199">
        <v>-4.8965405134891997E-2</v>
      </c>
      <c r="G199">
        <v>-0.113430497854661</v>
      </c>
      <c r="H199">
        <v>0.170978093916625</v>
      </c>
      <c r="I199">
        <v>0.58118970328779307</v>
      </c>
    </row>
    <row r="200" spans="1:9">
      <c r="A200" s="1" t="s">
        <v>212</v>
      </c>
      <c r="B200" t="str">
        <f>HYPERLINK("https://www.suredividend.com/sure-analysis-LOW/","Lowe`s Cos., Inc.")</f>
        <v>Lowe`s Cos., Inc.</v>
      </c>
      <c r="C200">
        <v>-4.5964340490797007E-2</v>
      </c>
      <c r="D200">
        <v>-8.4045251226600014E-3</v>
      </c>
      <c r="E200">
        <v>-2.1676464646911E-2</v>
      </c>
      <c r="F200">
        <v>4.1872666733929996E-3</v>
      </c>
      <c r="G200">
        <v>-0.100609308388665</v>
      </c>
      <c r="H200">
        <v>0.23708072565458699</v>
      </c>
      <c r="I200">
        <v>1.4538962151686661</v>
      </c>
    </row>
    <row r="201" spans="1:9">
      <c r="A201" s="1" t="s">
        <v>213</v>
      </c>
      <c r="B201" t="str">
        <f>HYPERLINK("https://www.suredividend.com/sure-analysis-LYB/","LyondellBasell Industries NV")</f>
        <v>LyondellBasell Industries NV</v>
      </c>
      <c r="C201">
        <v>2.9457146864910002E-3</v>
      </c>
      <c r="D201">
        <v>0.159471441278804</v>
      </c>
      <c r="E201">
        <v>0.218607448994937</v>
      </c>
      <c r="F201">
        <v>0.18558473321905</v>
      </c>
      <c r="G201">
        <v>7.5473367545567008E-2</v>
      </c>
      <c r="H201">
        <v>2.6297013986514999E-2</v>
      </c>
      <c r="I201">
        <v>0.11134095789727499</v>
      </c>
    </row>
    <row r="202" spans="1:9">
      <c r="A202" s="1" t="s">
        <v>214</v>
      </c>
      <c r="B202" t="str">
        <f>HYPERLINK("https://www.suredividend.com/sure-analysis-MA/","Mastercard Incorporated")</f>
        <v>Mastercard Incorporated</v>
      </c>
      <c r="C202">
        <v>-3.3189805033296001E-2</v>
      </c>
      <c r="D202">
        <v>5.6287391168150002E-3</v>
      </c>
      <c r="E202">
        <v>0.124351748234783</v>
      </c>
      <c r="F202">
        <v>4.1287105754730997E-2</v>
      </c>
      <c r="G202">
        <v>9.9682324135243014E-2</v>
      </c>
      <c r="H202">
        <v>4.4638878598223998E-2</v>
      </c>
      <c r="I202">
        <v>1.11976589340656</v>
      </c>
    </row>
    <row r="203" spans="1:9">
      <c r="A203" s="1" t="s">
        <v>215</v>
      </c>
      <c r="B203" t="str">
        <f>HYPERLINK("https://www.suredividend.com/sure-analysis-MAA/","Mid-America Apartment Communities, Inc.")</f>
        <v>Mid-America Apartment Communities, Inc.</v>
      </c>
      <c r="C203">
        <v>-7.8474429355677E-2</v>
      </c>
      <c r="D203">
        <v>-2.0623590154279E-2</v>
      </c>
      <c r="E203">
        <v>-1.1873994260975001E-2</v>
      </c>
      <c r="F203">
        <v>2.4729873442936E-2</v>
      </c>
      <c r="G203">
        <v>-0.232983212880225</v>
      </c>
      <c r="H203">
        <v>0.26710415807535498</v>
      </c>
      <c r="I203">
        <v>1.1785221513367301</v>
      </c>
    </row>
    <row r="204" spans="1:9">
      <c r="A204" s="1" t="s">
        <v>216</v>
      </c>
      <c r="B204" t="str">
        <f>HYPERLINK("https://www.suredividend.com/sure-analysis-MAN/","ManpowerGroup")</f>
        <v>ManpowerGroup</v>
      </c>
      <c r="C204">
        <v>-5.7146003083021008E-2</v>
      </c>
      <c r="D204">
        <v>-2.6378624218304999E-2</v>
      </c>
      <c r="E204">
        <v>0.20142830084112501</v>
      </c>
      <c r="F204">
        <v>2.9083042903496999E-2</v>
      </c>
      <c r="G204">
        <v>-8.6885076334616007E-2</v>
      </c>
      <c r="H204">
        <v>-6.3347381846462006E-2</v>
      </c>
      <c r="I204">
        <v>-0.20401422976780401</v>
      </c>
    </row>
    <row r="205" spans="1:9">
      <c r="A205" s="1" t="s">
        <v>217</v>
      </c>
      <c r="B205" t="str">
        <f>HYPERLINK("https://www.suredividend.com/sure-analysis-MATW/","Matthews International Corp.")</f>
        <v>Matthews International Corp.</v>
      </c>
      <c r="C205">
        <v>9.3240093240090013E-3</v>
      </c>
      <c r="D205">
        <v>0.233290293179401</v>
      </c>
      <c r="E205">
        <v>0.56762257987956199</v>
      </c>
      <c r="F205">
        <v>0.28798344823939198</v>
      </c>
      <c r="G205">
        <v>0.17874805281226799</v>
      </c>
      <c r="H205">
        <v>7.9244279756069E-2</v>
      </c>
      <c r="I205">
        <v>-0.19379197060661099</v>
      </c>
    </row>
    <row r="206" spans="1:9">
      <c r="A206" s="1" t="s">
        <v>218</v>
      </c>
      <c r="B206" t="str">
        <f>HYPERLINK("https://www.suredividend.com/sure-analysis-MCD/","McDonald`s Corp")</f>
        <v>McDonald`s Corp</v>
      </c>
      <c r="C206">
        <v>2.4196728599857002E-2</v>
      </c>
      <c r="D206">
        <v>-1.0155225407009E-2</v>
      </c>
      <c r="E206">
        <v>6.9300462024275006E-2</v>
      </c>
      <c r="F206">
        <v>2.6917316878433E-2</v>
      </c>
      <c r="G206">
        <v>0.16684591233152299</v>
      </c>
      <c r="H206">
        <v>0.373212481244449</v>
      </c>
      <c r="I206">
        <v>1.0284802945582261</v>
      </c>
    </row>
    <row r="207" spans="1:9">
      <c r="A207" s="1" t="s">
        <v>219</v>
      </c>
      <c r="B207" t="str">
        <f>HYPERLINK("https://www.suredividend.com/sure-analysis-MCHP/","Microchip Technology, Inc.")</f>
        <v>Microchip Technology, Inc.</v>
      </c>
      <c r="C207">
        <v>-2.7995151743371E-2</v>
      </c>
      <c r="D207">
        <v>7.2964160918644008E-2</v>
      </c>
      <c r="E207">
        <v>0.29177144715935399</v>
      </c>
      <c r="F207">
        <v>0.18079450601762001</v>
      </c>
      <c r="G207">
        <v>0.23998330676226201</v>
      </c>
      <c r="H207">
        <v>1.428576048830255</v>
      </c>
      <c r="I207">
        <v>2.902595745887155</v>
      </c>
    </row>
    <row r="208" spans="1:9">
      <c r="A208" s="1" t="s">
        <v>220</v>
      </c>
      <c r="B208" t="str">
        <f>HYPERLINK("https://www.suredividend.com/sure-analysis-MCK/","Mckesson Corporation")</f>
        <v>Mckesson Corporation</v>
      </c>
      <c r="C208">
        <v>-4.5186987782745998E-2</v>
      </c>
      <c r="D208">
        <v>-0.105089523409104</v>
      </c>
      <c r="E208">
        <v>-4.7093437881888002E-2</v>
      </c>
      <c r="F208">
        <v>-7.7105860365772008E-2</v>
      </c>
      <c r="G208">
        <v>0.23199735972562199</v>
      </c>
      <c r="H208">
        <v>1.031813543621068</v>
      </c>
      <c r="I208">
        <v>1.408093344879066</v>
      </c>
    </row>
    <row r="209" spans="1:9">
      <c r="A209" s="1" t="s">
        <v>221</v>
      </c>
      <c r="B209" t="str">
        <f>HYPERLINK("https://www.suredividend.com/sure-analysis-MCO/","Moody`s Corp.")</f>
        <v>Moody`s Corp.</v>
      </c>
      <c r="C209">
        <v>-7.6942194053569002E-2</v>
      </c>
      <c r="D209">
        <v>-7.712145474410001E-3</v>
      </c>
      <c r="E209">
        <v>5.8159061200090012E-2</v>
      </c>
      <c r="F209">
        <v>7.4592835400028007E-2</v>
      </c>
      <c r="G209">
        <v>-7.2086816529420006E-2</v>
      </c>
      <c r="H209">
        <v>9.5605543847702007E-2</v>
      </c>
      <c r="I209">
        <v>0.87774002148000707</v>
      </c>
    </row>
    <row r="210" spans="1:9">
      <c r="A210" s="1" t="s">
        <v>222</v>
      </c>
      <c r="B210" t="str">
        <f>HYPERLINK("https://www.suredividend.com/sure-analysis-MCY/","Mercury General Corp.")</f>
        <v>Mercury General Corp.</v>
      </c>
      <c r="C210">
        <v>-0.14037814037814</v>
      </c>
      <c r="D210">
        <v>-8.5705155752426002E-2</v>
      </c>
      <c r="E210">
        <v>2.7061317324502999E-2</v>
      </c>
      <c r="F210">
        <v>-2.953216374269E-2</v>
      </c>
      <c r="G210">
        <v>-0.35702094767247</v>
      </c>
      <c r="H210">
        <v>-0.39985932225149501</v>
      </c>
      <c r="I210">
        <v>-7.0102347578315002E-2</v>
      </c>
    </row>
    <row r="211" spans="1:9">
      <c r="A211" s="1" t="s">
        <v>223</v>
      </c>
      <c r="B211" t="str">
        <f>HYPERLINK("https://www.suredividend.com/sure-analysis-MDT/","Medtronic Plc")</f>
        <v>Medtronic Plc</v>
      </c>
      <c r="C211">
        <v>-4.2365097588978003E-2</v>
      </c>
      <c r="D211">
        <v>5.6919840847460997E-2</v>
      </c>
      <c r="E211">
        <v>-2.7238715455953001E-2</v>
      </c>
      <c r="F211">
        <v>7.3211528564076006E-2</v>
      </c>
      <c r="G211">
        <v>-0.20610899178411801</v>
      </c>
      <c r="H211">
        <v>-0.23798787139069699</v>
      </c>
      <c r="I211">
        <v>0.18494252155086599</v>
      </c>
    </row>
    <row r="212" spans="1:9">
      <c r="A212" s="1" t="s">
        <v>224</v>
      </c>
      <c r="B212" t="str">
        <f>HYPERLINK("https://www.suredividend.com/sure-analysis-MDU/","MDU Resources Group Inc")</f>
        <v>MDU Resources Group Inc</v>
      </c>
      <c r="C212">
        <v>2.0316027088035999E-2</v>
      </c>
      <c r="D212">
        <v>1.0175184299502E-2</v>
      </c>
      <c r="E212">
        <v>7.1986393497609005E-2</v>
      </c>
      <c r="F212">
        <v>4.2847725774554E-2</v>
      </c>
      <c r="G212">
        <v>0.2332301743828</v>
      </c>
      <c r="H212">
        <v>0.13337178104861899</v>
      </c>
      <c r="I212">
        <v>0.49302327776178612</v>
      </c>
    </row>
    <row r="213" spans="1:9">
      <c r="A213" s="1" t="s">
        <v>225</v>
      </c>
      <c r="B213" t="str">
        <f>HYPERLINK("https://www.suredividend.com/sure-analysis-MGEE/","MGE Energy, Inc.")</f>
        <v>MGE Energy, Inc.</v>
      </c>
      <c r="C213">
        <v>-2.6234939100391E-2</v>
      </c>
      <c r="D213">
        <v>1.2424760854613999E-2</v>
      </c>
      <c r="E213">
        <v>-6.7070128829431003E-2</v>
      </c>
      <c r="F213">
        <v>1.7889133658486E-2</v>
      </c>
      <c r="G213">
        <v>-4.0256685875003001E-2</v>
      </c>
      <c r="H213">
        <v>0.16704175798256499</v>
      </c>
      <c r="I213">
        <v>0.50351030089197701</v>
      </c>
    </row>
    <row r="214" spans="1:9">
      <c r="A214" s="1" t="s">
        <v>226</v>
      </c>
      <c r="B214" t="str">
        <f>HYPERLINK("https://www.suredividend.com/sure-analysis-MGRC/","McGrath Rentcorp")</f>
        <v>McGrath Rentcorp</v>
      </c>
      <c r="C214">
        <v>-3.3665835411471001E-2</v>
      </c>
      <c r="D214">
        <v>1.9227228491017E-2</v>
      </c>
      <c r="E214">
        <v>0.21543988669566799</v>
      </c>
      <c r="F214">
        <v>2.5007121637569001E-2</v>
      </c>
      <c r="G214">
        <v>0.275815477192978</v>
      </c>
      <c r="H214">
        <v>0.38444393448660102</v>
      </c>
      <c r="I214">
        <v>1.2449502545762441</v>
      </c>
    </row>
    <row r="215" spans="1:9">
      <c r="A215" s="1" t="s">
        <v>227</v>
      </c>
      <c r="B215" t="str">
        <f>HYPERLINK("https://www.suredividend.com/sure-analysis-MKC/","McCormick &amp; Co., Inc.")</f>
        <v>McCormick &amp; Co., Inc.</v>
      </c>
      <c r="C215">
        <v>-2.2001609873893001E-2</v>
      </c>
      <c r="D215">
        <v>-0.152082051472922</v>
      </c>
      <c r="E215">
        <v>-0.113554948649417</v>
      </c>
      <c r="F215">
        <v>-0.12052117263843599</v>
      </c>
      <c r="G215">
        <v>-0.28230512959856302</v>
      </c>
      <c r="H215">
        <v>-9.0462204899277004E-2</v>
      </c>
      <c r="I215">
        <v>0.45827123845035211</v>
      </c>
    </row>
    <row r="216" spans="1:9">
      <c r="A216" s="1" t="s">
        <v>228</v>
      </c>
      <c r="B216" t="str">
        <f>HYPERLINK("https://www.suredividend.com/sure-analysis-MKTX/","MarketAxess Holdings Inc.")</f>
        <v>MarketAxess Holdings Inc.</v>
      </c>
      <c r="C216">
        <v>7.0483232562713008E-2</v>
      </c>
      <c r="D216">
        <v>0.31697310027556902</v>
      </c>
      <c r="E216">
        <v>0.48591612728887001</v>
      </c>
      <c r="F216">
        <v>0.32769229387300403</v>
      </c>
      <c r="G216">
        <v>1.3526486306200999E-2</v>
      </c>
      <c r="H216">
        <v>-0.225240974755544</v>
      </c>
      <c r="I216">
        <v>0.88848378547167606</v>
      </c>
    </row>
    <row r="217" spans="1:9">
      <c r="A217" s="1" t="s">
        <v>229</v>
      </c>
      <c r="B217" t="str">
        <f>HYPERLINK("https://www.suredividend.com/sure-analysis-MMC/","Marsh &amp; McLennan Cos., Inc.")</f>
        <v>Marsh &amp; McLennan Cos., Inc.</v>
      </c>
      <c r="C217">
        <v>-4.7765883174307001E-2</v>
      </c>
      <c r="D217">
        <v>-5.5669731927213001E-2</v>
      </c>
      <c r="E217">
        <v>2.8510096265326999E-2</v>
      </c>
      <c r="F217">
        <v>-7.5625829203990009E-3</v>
      </c>
      <c r="G217">
        <v>6.0673615557496008E-2</v>
      </c>
      <c r="H217">
        <v>0.48721956183950998</v>
      </c>
      <c r="I217">
        <v>1.152722700327373</v>
      </c>
    </row>
    <row r="218" spans="1:9">
      <c r="A218" s="1" t="s">
        <v>230</v>
      </c>
      <c r="B218" t="str">
        <f>HYPERLINK("https://www.suredividend.com/sure-analysis-MMM/","3M Co.")</f>
        <v>3M Co.</v>
      </c>
      <c r="C218">
        <v>-4.0487362737343997E-2</v>
      </c>
      <c r="D218">
        <v>-0.11226787392703701</v>
      </c>
      <c r="E218">
        <v>-6.2448386629228997E-2</v>
      </c>
      <c r="F218">
        <v>-5.9930884726200007E-2</v>
      </c>
      <c r="G218">
        <v>-0.206787718398945</v>
      </c>
      <c r="H218">
        <v>-0.32301858504434511</v>
      </c>
      <c r="I218">
        <v>-0.42413886089635711</v>
      </c>
    </row>
    <row r="219" spans="1:9">
      <c r="A219" s="1" t="s">
        <v>231</v>
      </c>
      <c r="B219" t="str">
        <f>HYPERLINK("https://www.suredividend.com/sure-analysis-MMP/","Magellan Midstream Partners L.P.")</f>
        <v>Magellan Midstream Partners L.P.</v>
      </c>
      <c r="C219">
        <v>4.2402497553700007E-3</v>
      </c>
      <c r="D219">
        <v>4.6721709567751013E-2</v>
      </c>
      <c r="E219">
        <v>8.9536967010567001E-2</v>
      </c>
      <c r="F219">
        <v>9.4043473405281006E-2</v>
      </c>
      <c r="G219">
        <v>0.18015034432003299</v>
      </c>
      <c r="H219">
        <v>0.42395779926106397</v>
      </c>
      <c r="I219">
        <v>0.25929925185283798</v>
      </c>
    </row>
    <row r="220" spans="1:9">
      <c r="A220" s="1" t="s">
        <v>232</v>
      </c>
      <c r="B220" t="str">
        <f>HYPERLINK("https://www.suredividend.com/sure-analysis-research-database/","Monro Inc")</f>
        <v>Monro Inc</v>
      </c>
      <c r="C220">
        <v>-5.4891710231515997E-2</v>
      </c>
      <c r="D220">
        <v>8.5334476843910004E-2</v>
      </c>
      <c r="E220">
        <v>0.10320478592988901</v>
      </c>
      <c r="F220">
        <v>0.11991150442477801</v>
      </c>
      <c r="G220">
        <v>0.122628663180352</v>
      </c>
      <c r="H220">
        <v>-0.19862839122512299</v>
      </c>
      <c r="I220">
        <v>5.2870225736873007E-2</v>
      </c>
    </row>
    <row r="221" spans="1:9">
      <c r="A221" s="1" t="s">
        <v>233</v>
      </c>
      <c r="B221" t="str">
        <f>HYPERLINK("https://www.suredividend.com/sure-analysis-MO/","Altria Group Inc.")</f>
        <v>Altria Group Inc.</v>
      </c>
      <c r="C221">
        <v>-8.1006182050730006E-3</v>
      </c>
      <c r="D221">
        <v>-2.9121907002750001E-3</v>
      </c>
      <c r="E221">
        <v>7.8964027575844004E-2</v>
      </c>
      <c r="F221">
        <v>1.7939181798293E-2</v>
      </c>
      <c r="G221">
        <v>-5.8712623122937013E-2</v>
      </c>
      <c r="H221">
        <v>0.22221901177039199</v>
      </c>
      <c r="I221">
        <v>6.2933037274615009E-2</v>
      </c>
    </row>
    <row r="222" spans="1:9">
      <c r="A222" s="1" t="s">
        <v>234</v>
      </c>
      <c r="B222" t="str">
        <f>HYPERLINK("https://www.suredividend.com/sure-analysis-MORN/","Morningstar Inc")</f>
        <v>Morningstar Inc</v>
      </c>
      <c r="C222">
        <v>-0.15025364361059601</v>
      </c>
      <c r="D222">
        <v>-0.15296444385048399</v>
      </c>
      <c r="E222">
        <v>-6.1229155537684002E-2</v>
      </c>
      <c r="F222">
        <v>-2.3869548346576001E-2</v>
      </c>
      <c r="G222">
        <v>-0.20515066586426001</v>
      </c>
      <c r="H222">
        <v>-6.2586747145810001E-2</v>
      </c>
      <c r="I222">
        <v>1.3415103884692869</v>
      </c>
    </row>
    <row r="223" spans="1:9">
      <c r="A223" s="1" t="s">
        <v>235</v>
      </c>
      <c r="B223" t="str">
        <f>HYPERLINK("https://www.suredividend.com/sure-analysis-MRK/","Merck &amp; Co Inc")</f>
        <v>Merck &amp; Co Inc</v>
      </c>
      <c r="C223">
        <v>3.8274723139691998E-2</v>
      </c>
      <c r="D223">
        <v>-2.2281337447410999E-2</v>
      </c>
      <c r="E223">
        <v>0.25774617721888399</v>
      </c>
      <c r="F223">
        <v>-3.6683190626408013E-2</v>
      </c>
      <c r="G223">
        <v>0.41739384133888502</v>
      </c>
      <c r="H223">
        <v>0.5840621530973541</v>
      </c>
      <c r="I223">
        <v>1.29725460020505</v>
      </c>
    </row>
    <row r="224" spans="1:9">
      <c r="A224" s="1" t="s">
        <v>236</v>
      </c>
      <c r="B224" t="str">
        <f>HYPERLINK("https://www.suredividend.com/sure-analysis-MSA/","MSA Safety Inc")</f>
        <v>MSA Safety Inc</v>
      </c>
      <c r="C224">
        <v>3.7472541672050001E-3</v>
      </c>
      <c r="D224">
        <v>1.4346655245255E-2</v>
      </c>
      <c r="E224">
        <v>0.11598383736222501</v>
      </c>
      <c r="F224">
        <v>-5.4031015034322998E-2</v>
      </c>
      <c r="G224">
        <v>1.6852037331949E-2</v>
      </c>
      <c r="H224">
        <v>-0.141429229174732</v>
      </c>
      <c r="I224">
        <v>0.67558446392760207</v>
      </c>
    </row>
    <row r="225" spans="1:9">
      <c r="A225" s="1" t="s">
        <v>237</v>
      </c>
      <c r="B225" t="str">
        <f>HYPERLINK("https://www.suredividend.com/sure-analysis-MSEX/","Middlesex Water Co.")</f>
        <v>Middlesex Water Co.</v>
      </c>
      <c r="C225">
        <v>-0.14896430985186099</v>
      </c>
      <c r="D225">
        <v>-0.162893458265393</v>
      </c>
      <c r="E225">
        <v>-0.14272456201952499</v>
      </c>
      <c r="F225">
        <v>-3.1266625585123997E-2</v>
      </c>
      <c r="G225">
        <v>-0.27762836057884799</v>
      </c>
      <c r="H225">
        <v>0.12907063197026</v>
      </c>
      <c r="I225">
        <v>1.375314002558945</v>
      </c>
    </row>
    <row r="226" spans="1:9">
      <c r="A226" s="1" t="s">
        <v>238</v>
      </c>
      <c r="B226" t="str">
        <f>HYPERLINK("https://www.suredividend.com/sure-analysis-MSFT/","Microsoft Corporation")</f>
        <v>Microsoft Corporation</v>
      </c>
      <c r="C226">
        <v>-9.3692582007680013E-3</v>
      </c>
      <c r="D226">
        <v>3.5662788521860001E-3</v>
      </c>
      <c r="E226">
        <v>2.30661261668E-3</v>
      </c>
      <c r="F226">
        <v>6.7173088627744001E-2</v>
      </c>
      <c r="G226">
        <v>-0.11062415518178299</v>
      </c>
      <c r="H226">
        <v>0.146272425702652</v>
      </c>
      <c r="I226">
        <v>1.9070283836380151</v>
      </c>
    </row>
    <row r="227" spans="1:9">
      <c r="A227" s="1" t="s">
        <v>239</v>
      </c>
      <c r="B227" t="str">
        <f>HYPERLINK("https://www.suredividend.com/sure-analysis-research-database/","Motorola Solutions Inc")</f>
        <v>Motorola Solutions Inc</v>
      </c>
      <c r="C227">
        <v>3.9463422243019013E-2</v>
      </c>
      <c r="D227">
        <v>-1.9285015509468002E-2</v>
      </c>
      <c r="E227">
        <v>0.100637110992745</v>
      </c>
      <c r="F227">
        <v>3.4340925846882003E-2</v>
      </c>
      <c r="G227">
        <v>0.212394661388213</v>
      </c>
      <c r="H227">
        <v>0.56611605451089708</v>
      </c>
      <c r="I227">
        <v>1.7092542131362649</v>
      </c>
    </row>
    <row r="228" spans="1:9">
      <c r="A228" s="1" t="s">
        <v>240</v>
      </c>
      <c r="B228" t="str">
        <f>HYPERLINK("https://www.suredividend.com/sure-analysis-NDSN/","Nordson Corp.")</f>
        <v>Nordson Corp.</v>
      </c>
      <c r="C228">
        <v>-0.100786947518685</v>
      </c>
      <c r="D228">
        <v>-7.3227842814055005E-2</v>
      </c>
      <c r="E228">
        <v>2.0770438569920001E-3</v>
      </c>
      <c r="F228">
        <v>-5.9442523877733001E-2</v>
      </c>
      <c r="G228">
        <v>-4.8008240440190007E-3</v>
      </c>
      <c r="H228">
        <v>0.186987057534725</v>
      </c>
      <c r="I228">
        <v>0.73568598086612202</v>
      </c>
    </row>
    <row r="229" spans="1:9">
      <c r="A229" s="1" t="s">
        <v>241</v>
      </c>
      <c r="B229" t="str">
        <f>HYPERLINK("https://www.suredividend.com/sure-analysis-NEE/","NextEra Energy Inc")</f>
        <v>NextEra Energy Inc</v>
      </c>
      <c r="C229">
        <v>-4.0107848529150007E-3</v>
      </c>
      <c r="D229">
        <v>-0.12862544624939201</v>
      </c>
      <c r="E229">
        <v>-0.16795628772912</v>
      </c>
      <c r="F229">
        <v>-0.106110950592314</v>
      </c>
      <c r="G229">
        <v>-7.3792250042412008E-2</v>
      </c>
      <c r="H229">
        <v>8.6818103974460006E-2</v>
      </c>
      <c r="I229">
        <v>1.1392269395657579</v>
      </c>
    </row>
    <row r="230" spans="1:9">
      <c r="A230" s="1" t="s">
        <v>242</v>
      </c>
      <c r="B230" t="str">
        <f>HYPERLINK("https://www.suredividend.com/sure-analysis-NFG/","National Fuel Gas Co.")</f>
        <v>National Fuel Gas Co.</v>
      </c>
      <c r="C230">
        <v>-1.4912868632707001E-2</v>
      </c>
      <c r="D230">
        <v>-7.7281409551134009E-2</v>
      </c>
      <c r="E230">
        <v>-0.15355509738651599</v>
      </c>
      <c r="F230">
        <v>-7.1248025276460999E-2</v>
      </c>
      <c r="G230">
        <v>-7.4862346629990001E-2</v>
      </c>
      <c r="H230">
        <v>0.32087722964031401</v>
      </c>
      <c r="I230">
        <v>0.39565137915235299</v>
      </c>
    </row>
    <row r="231" spans="1:9">
      <c r="A231" s="1" t="s">
        <v>243</v>
      </c>
      <c r="B231" t="str">
        <f>HYPERLINK("https://www.suredividend.com/sure-analysis-NHC/","National Healthcare Corp.")</f>
        <v>National Healthcare Corp.</v>
      </c>
      <c r="C231">
        <v>-0.11080600872233801</v>
      </c>
      <c r="D231">
        <v>-7.5046415699848004E-2</v>
      </c>
      <c r="E231">
        <v>-0.190606625998509</v>
      </c>
      <c r="F231">
        <v>-7.4789915966386011E-2</v>
      </c>
      <c r="G231">
        <v>-0.14558833343939101</v>
      </c>
      <c r="H231">
        <v>-0.16707392540432001</v>
      </c>
      <c r="I231">
        <v>6.3010143491886009E-2</v>
      </c>
    </row>
    <row r="232" spans="1:9">
      <c r="A232" s="1" t="s">
        <v>244</v>
      </c>
      <c r="B232" t="str">
        <f>HYPERLINK("https://www.suredividend.com/sure-analysis-research-database/","NiSource Inc")</f>
        <v>NiSource Inc</v>
      </c>
      <c r="C232">
        <v>2.3651145602365E-2</v>
      </c>
      <c r="D232">
        <v>1.3998301461328E-2</v>
      </c>
      <c r="E232">
        <v>-4.5100884919143013E-2</v>
      </c>
      <c r="F232">
        <v>1.9544333615516999E-2</v>
      </c>
      <c r="G232">
        <v>-5.9413168894759012E-2</v>
      </c>
      <c r="H232">
        <v>0.37988064281515499</v>
      </c>
      <c r="I232">
        <v>0.40689122749989798</v>
      </c>
    </row>
    <row r="233" spans="1:9">
      <c r="A233" s="1" t="s">
        <v>245</v>
      </c>
      <c r="B233" t="str">
        <f>HYPERLINK("https://www.suredividend.com/sure-analysis-NJR/","New Jersey Resources Corporation")</f>
        <v>New Jersey Resources Corporation</v>
      </c>
      <c r="C233">
        <v>-3.3502729154903002E-2</v>
      </c>
      <c r="D233">
        <v>6.1062219366090013E-2</v>
      </c>
      <c r="E233">
        <v>0.173247668355899</v>
      </c>
      <c r="F233">
        <v>3.4864973800885997E-2</v>
      </c>
      <c r="G233">
        <v>0.173145812771868</v>
      </c>
      <c r="H233">
        <v>0.39972032851858602</v>
      </c>
      <c r="I233">
        <v>0.58513094694210199</v>
      </c>
    </row>
    <row r="234" spans="1:9">
      <c r="A234" s="1" t="s">
        <v>246</v>
      </c>
      <c r="B234" t="str">
        <f>HYPERLINK("https://www.suredividend.com/sure-analysis-NKE/","Nike, Inc.")</f>
        <v>Nike, Inc.</v>
      </c>
      <c r="C234">
        <v>-4.9566513054903998E-2</v>
      </c>
      <c r="D234">
        <v>8.0969959153028001E-2</v>
      </c>
      <c r="E234">
        <v>0.15053079101608</v>
      </c>
      <c r="F234">
        <v>3.6534098749285003E-2</v>
      </c>
      <c r="G234">
        <v>-6.7626023518274E-2</v>
      </c>
      <c r="H234">
        <v>-6.6501898411262E-2</v>
      </c>
      <c r="I234">
        <v>0.92314114113159007</v>
      </c>
    </row>
    <row r="235" spans="1:9">
      <c r="A235" s="1" t="s">
        <v>247</v>
      </c>
      <c r="B235" t="str">
        <f>HYPERLINK("https://www.suredividend.com/sure-analysis-NNN/","National Retail Properties Inc")</f>
        <v>National Retail Properties Inc</v>
      </c>
      <c r="C235">
        <v>-2.7954256670902001E-2</v>
      </c>
      <c r="D235">
        <v>5.0999516062980007E-3</v>
      </c>
      <c r="E235">
        <v>5.5085096405814007E-2</v>
      </c>
      <c r="F235">
        <v>1.4766062154973E-2</v>
      </c>
      <c r="G235">
        <v>0.110267189790379</v>
      </c>
      <c r="H235">
        <v>0.192396717401978</v>
      </c>
      <c r="I235">
        <v>0.54072860686580804</v>
      </c>
    </row>
    <row r="236" spans="1:9">
      <c r="A236" s="1" t="s">
        <v>248</v>
      </c>
      <c r="B236" t="str">
        <f>HYPERLINK("https://www.suredividend.com/sure-analysis-NOC/","Northrop Grumman Corp.")</f>
        <v>Northrop Grumman Corp.</v>
      </c>
      <c r="C236">
        <v>6.4551381948863007E-2</v>
      </c>
      <c r="D236">
        <v>-0.14024201916750001</v>
      </c>
      <c r="E236">
        <v>-1.6492448194773E-2</v>
      </c>
      <c r="F236">
        <v>-0.14025783435403699</v>
      </c>
      <c r="G236">
        <v>8.3434607077640006E-3</v>
      </c>
      <c r="H236">
        <v>0.60811233458425507</v>
      </c>
      <c r="I236">
        <v>0.45333533587506802</v>
      </c>
    </row>
    <row r="237" spans="1:9">
      <c r="A237" s="1" t="s">
        <v>249</v>
      </c>
      <c r="B237" t="str">
        <f>HYPERLINK("https://www.suredividend.com/sure-analysis-research-database/","Neenah Inc")</f>
        <v>Neenah Inc</v>
      </c>
      <c r="C237">
        <v>-0.16076580120639899</v>
      </c>
      <c r="D237">
        <v>-0.20702378680834499</v>
      </c>
      <c r="E237">
        <v>-0.30825767401642801</v>
      </c>
      <c r="F237">
        <v>-0.29286143619842298</v>
      </c>
      <c r="G237">
        <v>-0.331461425324241</v>
      </c>
      <c r="H237">
        <v>-0.29943166393736897</v>
      </c>
      <c r="I237">
        <v>-0.52891574069166902</v>
      </c>
    </row>
    <row r="238" spans="1:9">
      <c r="A238" s="1" t="s">
        <v>250</v>
      </c>
      <c r="B238" t="str">
        <f>HYPERLINK("https://www.suredividend.com/sure-analysis-NSP/","Insperity Inc")</f>
        <v>Insperity Inc</v>
      </c>
      <c r="C238">
        <v>8.9440226028606004E-2</v>
      </c>
      <c r="D238">
        <v>4.3378995433789001E-2</v>
      </c>
      <c r="E238">
        <v>0.15294698069731799</v>
      </c>
      <c r="F238">
        <v>8.6179577464788007E-2</v>
      </c>
      <c r="G238">
        <v>0.39987157349694402</v>
      </c>
      <c r="H238">
        <v>0.47893781125833701</v>
      </c>
      <c r="I238">
        <v>1.014264236076535</v>
      </c>
    </row>
    <row r="239" spans="1:9">
      <c r="A239" s="1" t="s">
        <v>251</v>
      </c>
      <c r="B239" t="str">
        <f>HYPERLINK("https://www.suredividend.com/sure-analysis-NUE/","Nucor Corp.")</f>
        <v>Nucor Corp.</v>
      </c>
      <c r="C239">
        <v>9.8511011719410006E-3</v>
      </c>
      <c r="D239">
        <v>0.16115718619396599</v>
      </c>
      <c r="E239">
        <v>0.37552950212726199</v>
      </c>
      <c r="F239">
        <v>0.35323571807905302</v>
      </c>
      <c r="G239">
        <v>0.307173736045735</v>
      </c>
      <c r="H239">
        <v>2.0558663142006899</v>
      </c>
      <c r="I239">
        <v>1.9866865812594079</v>
      </c>
    </row>
    <row r="240" spans="1:9">
      <c r="A240" s="1" t="s">
        <v>252</v>
      </c>
      <c r="B240" t="str">
        <f>HYPERLINK("https://www.suredividend.com/sure-analysis-NUS/","Nu Skin Enterprises, Inc.")</f>
        <v>Nu Skin Enterprises, Inc.</v>
      </c>
      <c r="C240">
        <v>-4.4108416547788E-2</v>
      </c>
      <c r="D240">
        <v>2.1104618609389999E-3</v>
      </c>
      <c r="E240">
        <v>6.0261217173801007E-2</v>
      </c>
      <c r="F240">
        <v>2.8231338941289998E-3</v>
      </c>
      <c r="G240">
        <v>-5.8010620997725013E-2</v>
      </c>
      <c r="H240">
        <v>-9.8701639682952008E-2</v>
      </c>
      <c r="I240">
        <v>-0.32003162794624501</v>
      </c>
    </row>
    <row r="241" spans="1:9">
      <c r="A241" s="1" t="s">
        <v>253</v>
      </c>
      <c r="B241" t="str">
        <f>HYPERLINK("https://www.suredividend.com/sure-analysis-NWBI/","Northwest Bancshares Inc")</f>
        <v>Northwest Bancshares Inc</v>
      </c>
      <c r="C241">
        <v>-5.4832076764907013E-2</v>
      </c>
      <c r="D241">
        <v>-7.5489407347814008E-2</v>
      </c>
      <c r="E241">
        <v>1.6916655605209E-2</v>
      </c>
      <c r="F241">
        <v>5.5868759205600002E-4</v>
      </c>
      <c r="G241">
        <v>5.4104049777559997E-2</v>
      </c>
      <c r="H241">
        <v>7.0394547896080004E-2</v>
      </c>
      <c r="I241">
        <v>8.4375245734056012E-2</v>
      </c>
    </row>
    <row r="242" spans="1:9">
      <c r="A242" s="1" t="s">
        <v>254</v>
      </c>
      <c r="B242" t="str">
        <f>HYPERLINK("https://www.suredividend.com/sure-analysis-NWE/","Northwestern Corp.")</f>
        <v>Northwestern Corp.</v>
      </c>
      <c r="C242">
        <v>1.2146451500950001E-3</v>
      </c>
      <c r="D242">
        <v>2.8887367078129999E-3</v>
      </c>
      <c r="E242">
        <v>0.10657655515238899</v>
      </c>
      <c r="F242">
        <v>-2.7637344118638E-2</v>
      </c>
      <c r="G242">
        <v>-2.4271458840996001E-2</v>
      </c>
      <c r="H242">
        <v>6.0893835232339003E-2</v>
      </c>
      <c r="I242">
        <v>0.37708830548925998</v>
      </c>
    </row>
    <row r="243" spans="1:9">
      <c r="A243" s="1" t="s">
        <v>255</v>
      </c>
      <c r="B243" t="str">
        <f>HYPERLINK("https://www.suredividend.com/sure-analysis-NWN/","Northwest Natural Holding Co")</f>
        <v>Northwest Natural Holding Co</v>
      </c>
      <c r="C243">
        <v>-6.7606722039791012E-2</v>
      </c>
      <c r="D243">
        <v>4.4181398125795003E-2</v>
      </c>
      <c r="E243">
        <v>3.6971793164192003E-2</v>
      </c>
      <c r="F243">
        <v>2.4216666277661E-2</v>
      </c>
      <c r="G243">
        <v>-0.103439693456985</v>
      </c>
      <c r="H243">
        <v>7.4094018273171011E-2</v>
      </c>
      <c r="I243">
        <v>-0.17090204552051699</v>
      </c>
    </row>
    <row r="244" spans="1:9">
      <c r="A244" s="1" t="s">
        <v>256</v>
      </c>
      <c r="B244" t="str">
        <f>HYPERLINK("https://www.suredividend.com/sure-analysis-O/","Realty Income Corp.")</f>
        <v>Realty Income Corp.</v>
      </c>
      <c r="C244">
        <v>-4.2100635133770013E-2</v>
      </c>
      <c r="D244">
        <v>3.7136865398964998E-2</v>
      </c>
      <c r="E244">
        <v>-2.4361462807279001E-2</v>
      </c>
      <c r="F244">
        <v>2.4478507238387001E-2</v>
      </c>
      <c r="G244">
        <v>5.753176411508E-3</v>
      </c>
      <c r="H244">
        <v>0.178566859774484</v>
      </c>
      <c r="I244">
        <v>0.59990275052283903</v>
      </c>
    </row>
    <row r="245" spans="1:9">
      <c r="A245" s="1" t="s">
        <v>257</v>
      </c>
      <c r="B245" t="str">
        <f>HYPERLINK("https://www.suredividend.com/sure-analysis-OGE/","Oge Energy Corp.")</f>
        <v>Oge Energy Corp.</v>
      </c>
      <c r="C245">
        <v>-7.731958762886601E-2</v>
      </c>
      <c r="D245">
        <v>-8.7109630993393E-2</v>
      </c>
      <c r="E245">
        <v>-9.9627024267315012E-2</v>
      </c>
      <c r="F245">
        <v>-8.5030797147749013E-2</v>
      </c>
      <c r="G245">
        <v>-6.1323376718721997E-2</v>
      </c>
      <c r="H245">
        <v>0.27397601508843</v>
      </c>
      <c r="I245">
        <v>0.42258250382467999</v>
      </c>
    </row>
    <row r="246" spans="1:9">
      <c r="A246" s="1" t="s">
        <v>258</v>
      </c>
      <c r="B246" t="str">
        <f>HYPERLINK("https://www.suredividend.com/sure-analysis-ORCL/","Oracle Corp.")</f>
        <v>Oracle Corp.</v>
      </c>
      <c r="C246">
        <v>-4.1285427359960001E-3</v>
      </c>
      <c r="D246">
        <v>7.4801357440997002E-2</v>
      </c>
      <c r="E246">
        <v>0.20574705655865599</v>
      </c>
      <c r="F246">
        <v>9.5971491233455011E-2</v>
      </c>
      <c r="G246">
        <v>0.18710504649328499</v>
      </c>
      <c r="H246">
        <v>0.40513120855453311</v>
      </c>
      <c r="I246">
        <v>0.92647242931950702</v>
      </c>
    </row>
    <row r="247" spans="1:9">
      <c r="A247" s="1" t="s">
        <v>259</v>
      </c>
      <c r="B247" t="str">
        <f>HYPERLINK("https://www.suredividend.com/sure-analysis-ORI/","Old Republic International Corp.")</f>
        <v>Old Republic International Corp.</v>
      </c>
      <c r="C247">
        <v>-1.6900975647229999E-3</v>
      </c>
      <c r="D247">
        <v>8.4566110960419008E-2</v>
      </c>
      <c r="E247">
        <v>0.20551223833797899</v>
      </c>
      <c r="F247">
        <v>8.6361337407362002E-2</v>
      </c>
      <c r="G247">
        <v>2.3216261225260999E-2</v>
      </c>
      <c r="H247">
        <v>0.49166355783855098</v>
      </c>
      <c r="I247">
        <v>0.76461801689253406</v>
      </c>
    </row>
    <row r="248" spans="1:9">
      <c r="A248" s="1" t="s">
        <v>260</v>
      </c>
      <c r="B248" t="str">
        <f>HYPERLINK("https://www.suredividend.com/sure-analysis-OZK/","Bank OZK")</f>
        <v>Bank OZK</v>
      </c>
      <c r="C248">
        <v>-8.7028595109821014E-2</v>
      </c>
      <c r="D248">
        <v>-2.0760499709961001E-2</v>
      </c>
      <c r="E248">
        <v>0.11439635178098501</v>
      </c>
      <c r="F248">
        <v>0.108793086526628</v>
      </c>
      <c r="G248">
        <v>5.7626988451558003E-2</v>
      </c>
      <c r="H248">
        <v>0.103566428136685</v>
      </c>
      <c r="I248">
        <v>-0.13408172570476201</v>
      </c>
    </row>
    <row r="249" spans="1:9">
      <c r="A249" s="1" t="s">
        <v>261</v>
      </c>
      <c r="B249" t="str">
        <f>HYPERLINK("https://www.suredividend.com/sure-analysis-PAYX/","Paychex Inc.")</f>
        <v>Paychex Inc.</v>
      </c>
      <c r="C249">
        <v>-4.2918804739474001E-2</v>
      </c>
      <c r="D249">
        <v>-9.9137255904794011E-2</v>
      </c>
      <c r="E249">
        <v>-5.4812966493777003E-2</v>
      </c>
      <c r="F249">
        <v>-1.7907314077126001E-2</v>
      </c>
      <c r="G249">
        <v>-6.3537871349226005E-2</v>
      </c>
      <c r="H249">
        <v>0.32689718165296511</v>
      </c>
      <c r="I249">
        <v>1.044970113649762</v>
      </c>
    </row>
    <row r="250" spans="1:9">
      <c r="A250" s="1" t="s">
        <v>262</v>
      </c>
      <c r="B250" t="str">
        <f>HYPERLINK("https://www.suredividend.com/sure-analysis-PB/","Prosperity Bancshares Inc.")</f>
        <v>Prosperity Bancshares Inc.</v>
      </c>
      <c r="C250">
        <v>-0.12276114524774399</v>
      </c>
      <c r="D250">
        <v>-5.1164974271157002E-2</v>
      </c>
      <c r="E250">
        <v>-4.1936345165633E-2</v>
      </c>
      <c r="F250">
        <v>-7.6774903687396007E-2</v>
      </c>
      <c r="G250">
        <v>-3.4243341892249E-2</v>
      </c>
      <c r="H250">
        <v>-7.2717724772670009E-2</v>
      </c>
      <c r="I250">
        <v>-2.2349014116930001E-2</v>
      </c>
    </row>
    <row r="251" spans="1:9">
      <c r="A251" s="1" t="s">
        <v>263</v>
      </c>
      <c r="B251" t="str">
        <f>HYPERLINK("https://www.suredividend.com/sure-analysis-PEG/","Public Service Enterprise Group Inc.")</f>
        <v>Public Service Enterprise Group Inc.</v>
      </c>
      <c r="C251">
        <v>-7.8882497945760004E-3</v>
      </c>
      <c r="D251">
        <v>-2.1533410742999998E-5</v>
      </c>
      <c r="E251">
        <v>-4.0587121904395E-2</v>
      </c>
      <c r="F251">
        <v>-1.468908111637E-2</v>
      </c>
      <c r="G251">
        <v>-7.6891554253455008E-2</v>
      </c>
      <c r="H251">
        <v>0.170996074049935</v>
      </c>
      <c r="I251">
        <v>0.46144256024788999</v>
      </c>
    </row>
    <row r="252" spans="1:9">
      <c r="A252" s="1" t="s">
        <v>264</v>
      </c>
      <c r="B252" t="str">
        <f>HYPERLINK("https://www.suredividend.com/sure-analysis-PEP/","PepsiCo Inc")</f>
        <v>PepsiCo Inc</v>
      </c>
      <c r="C252">
        <v>3.0748020058957E-2</v>
      </c>
      <c r="D252">
        <v>-6.1230641778841008E-2</v>
      </c>
      <c r="E252">
        <v>2.7817862245693999E-2</v>
      </c>
      <c r="F252">
        <v>-3.5093291961878E-2</v>
      </c>
      <c r="G252">
        <v>7.2787202141237003E-2</v>
      </c>
      <c r="H252">
        <v>0.41856696471729399</v>
      </c>
      <c r="I252">
        <v>0.82158464713964408</v>
      </c>
    </row>
    <row r="253" spans="1:9">
      <c r="A253" s="1" t="s">
        <v>265</v>
      </c>
      <c r="B253" t="str">
        <f>HYPERLINK("https://www.suredividend.com/sure-analysis-PETS/","Petmed Express, Inc.")</f>
        <v>Petmed Express, Inc.</v>
      </c>
      <c r="C253">
        <v>-0.15969478569227399</v>
      </c>
      <c r="D253">
        <v>-4.4536022090201001E-2</v>
      </c>
      <c r="E253">
        <v>-8.9373028096355001E-2</v>
      </c>
      <c r="F253">
        <v>4.7771979124849012E-2</v>
      </c>
      <c r="G253">
        <v>-0.264507558221452</v>
      </c>
      <c r="H253">
        <v>-0.36759030097440198</v>
      </c>
      <c r="I253">
        <v>-0.48904395005103901</v>
      </c>
    </row>
    <row r="254" spans="1:9">
      <c r="A254" s="1" t="s">
        <v>266</v>
      </c>
      <c r="B254" t="str">
        <f>HYPERLINK("https://www.suredividend.com/sure-analysis-research-database/","Premier Financial Corp")</f>
        <v>Premier Financial Corp</v>
      </c>
      <c r="C254">
        <v>-2.4459997298993001E-2</v>
      </c>
      <c r="D254">
        <v>-0.135980974695077</v>
      </c>
      <c r="E254">
        <v>-6.5545016303499001E-2</v>
      </c>
      <c r="F254">
        <v>-7.7995014565876E-2</v>
      </c>
      <c r="G254">
        <v>-0.15469495363901001</v>
      </c>
      <c r="H254">
        <v>-0.13479084907455</v>
      </c>
      <c r="I254">
        <v>-3.8563168670312002E-2</v>
      </c>
    </row>
    <row r="255" spans="1:9">
      <c r="A255" s="1" t="s">
        <v>267</v>
      </c>
      <c r="B255" t="str">
        <f>HYPERLINK("https://www.suredividend.com/sure-analysis-PFE/","Pfizer Inc.")</f>
        <v>Pfizer Inc.</v>
      </c>
      <c r="C255">
        <v>-6.6046300499319005E-2</v>
      </c>
      <c r="D255">
        <v>-0.18429080875137999</v>
      </c>
      <c r="E255">
        <v>-8.3506683830964004E-2</v>
      </c>
      <c r="F255">
        <v>-0.189544234340872</v>
      </c>
      <c r="G255">
        <v>-0.12532601001995899</v>
      </c>
      <c r="H255">
        <v>0.28873243847594399</v>
      </c>
      <c r="I255">
        <v>0.37292976204775002</v>
      </c>
    </row>
    <row r="256" spans="1:9">
      <c r="A256" s="1" t="s">
        <v>268</v>
      </c>
      <c r="B256" t="str">
        <f>HYPERLINK("https://www.suredividend.com/sure-analysis-PFG/","Principal Financial Group Inc")</f>
        <v>Principal Financial Group Inc</v>
      </c>
      <c r="C256">
        <v>-5.1457046907160013E-2</v>
      </c>
      <c r="D256">
        <v>-5.0119331742243013E-2</v>
      </c>
      <c r="E256">
        <v>0.194963575173799</v>
      </c>
      <c r="F256">
        <v>4.3374642516682001E-2</v>
      </c>
      <c r="G256">
        <v>0.35154325370609302</v>
      </c>
      <c r="H256">
        <v>0.64433160061296202</v>
      </c>
      <c r="I256">
        <v>0.737539464728306</v>
      </c>
    </row>
    <row r="257" spans="1:9">
      <c r="A257" s="1" t="s">
        <v>269</v>
      </c>
      <c r="B257" t="str">
        <f>HYPERLINK("https://www.suredividend.com/sure-analysis-PG/","Procter &amp; Gamble Co.")</f>
        <v>Procter &amp; Gamble Co.</v>
      </c>
      <c r="C257">
        <v>-1.1640137437767E-2</v>
      </c>
      <c r="D257">
        <v>-5.8264654691471997E-2</v>
      </c>
      <c r="E257">
        <v>4.1423458515954012E-2</v>
      </c>
      <c r="F257">
        <v>-6.4167750005643009E-2</v>
      </c>
      <c r="G257">
        <v>-6.8092396043872003E-2</v>
      </c>
      <c r="H257">
        <v>0.21259516011503901</v>
      </c>
      <c r="I257">
        <v>1.0287990143160231</v>
      </c>
    </row>
    <row r="258" spans="1:9">
      <c r="A258" s="1" t="s">
        <v>270</v>
      </c>
      <c r="B258" t="str">
        <f>HYPERLINK("https://www.suredividend.com/sure-analysis-PII/","Polaris Inc")</f>
        <v>Polaris Inc</v>
      </c>
      <c r="C258">
        <v>-1.4735551753198E-2</v>
      </c>
      <c r="D258">
        <v>-1.3805004314059999E-3</v>
      </c>
      <c r="E258">
        <v>4.2126247283033998E-2</v>
      </c>
      <c r="F258">
        <v>0.15246629180478299</v>
      </c>
      <c r="G258">
        <v>-3.8088131271900002E-4</v>
      </c>
      <c r="H258">
        <v>-1.9046133817905E-2</v>
      </c>
      <c r="I258">
        <v>0.12555030307391701</v>
      </c>
    </row>
    <row r="259" spans="1:9">
      <c r="A259" s="1" t="s">
        <v>271</v>
      </c>
      <c r="B259" t="str">
        <f>HYPERLINK("https://www.suredividend.com/sure-analysis-PKG/","Packaging Corp Of America")</f>
        <v>Packaging Corp Of America</v>
      </c>
      <c r="C259">
        <v>-1.4402437335549001E-2</v>
      </c>
      <c r="D259">
        <v>4.2604386790552E-2</v>
      </c>
      <c r="E259">
        <v>6.7383754980161012E-2</v>
      </c>
      <c r="F259">
        <v>0.112813697130795</v>
      </c>
      <c r="G259">
        <v>-1.3822694549004E-2</v>
      </c>
      <c r="H259">
        <v>0.13080616612697701</v>
      </c>
      <c r="I259">
        <v>0.41583378425693002</v>
      </c>
    </row>
    <row r="260" spans="1:9">
      <c r="A260" s="1" t="s">
        <v>272</v>
      </c>
      <c r="B260" t="str">
        <f>HYPERLINK("https://www.suredividend.com/sure-analysis-research-database/","Douglas Dynamics Inc")</f>
        <v>Douglas Dynamics Inc</v>
      </c>
      <c r="C260">
        <v>-8.9034449296458013E-2</v>
      </c>
      <c r="D260">
        <v>-3.1947036804058013E-2</v>
      </c>
      <c r="E260">
        <v>0.33268030223982498</v>
      </c>
      <c r="F260">
        <v>3.8440265486725002E-2</v>
      </c>
      <c r="G260">
        <v>3.8497704519055001E-2</v>
      </c>
      <c r="H260">
        <v>-0.165635283739553</v>
      </c>
      <c r="I260">
        <v>1.2598832882090001E-2</v>
      </c>
    </row>
    <row r="261" spans="1:9">
      <c r="A261" s="1" t="s">
        <v>273</v>
      </c>
      <c r="B261" t="str">
        <f>HYPERLINK("https://www.suredividend.com/sure-analysis-PM/","Philip Morris International Inc")</f>
        <v>Philip Morris International Inc</v>
      </c>
      <c r="C261">
        <v>-3.3044156350520999E-2</v>
      </c>
      <c r="D261">
        <v>-3.6776307804345001E-2</v>
      </c>
      <c r="E261">
        <v>7.7686884159523004E-2</v>
      </c>
      <c r="F261">
        <v>-1.9859697658334001E-2</v>
      </c>
      <c r="G261">
        <v>4.7570470762540007E-2</v>
      </c>
      <c r="H261">
        <v>0.30055378419197798</v>
      </c>
      <c r="I261">
        <v>0.22778355364126901</v>
      </c>
    </row>
    <row r="262" spans="1:9">
      <c r="A262" s="1" t="s">
        <v>274</v>
      </c>
      <c r="B262" t="str">
        <f>HYPERLINK("https://www.suredividend.com/sure-analysis-PNC/","PNC Financial Services Group Inc")</f>
        <v>PNC Financial Services Group Inc</v>
      </c>
      <c r="C262">
        <v>-7.5578934639337E-2</v>
      </c>
      <c r="D262">
        <v>-6.0703762591324012E-2</v>
      </c>
      <c r="E262">
        <v>-9.2953484378689999E-3</v>
      </c>
      <c r="F262">
        <v>-2.3296134388932001E-2</v>
      </c>
      <c r="G262">
        <v>-0.142352441594532</v>
      </c>
      <c r="H262">
        <v>-5.8167649731260998E-2</v>
      </c>
      <c r="I262">
        <v>0.139667186470393</v>
      </c>
    </row>
    <row r="263" spans="1:9">
      <c r="A263" s="1" t="s">
        <v>275</v>
      </c>
      <c r="B263" t="str">
        <f>HYPERLINK("https://www.suredividend.com/sure-analysis-PNW/","Pinnacle West Capital Corp.")</f>
        <v>Pinnacle West Capital Corp.</v>
      </c>
      <c r="C263">
        <v>6.2161089802930001E-3</v>
      </c>
      <c r="D263">
        <v>-1.3839686730777E-2</v>
      </c>
      <c r="E263">
        <v>4.6116868634506002E-2</v>
      </c>
      <c r="F263">
        <v>1.2357736991908E-2</v>
      </c>
      <c r="G263">
        <v>7.1688162409777004E-2</v>
      </c>
      <c r="H263">
        <v>9.3574816731349E-2</v>
      </c>
      <c r="I263">
        <v>0.217542989285685</v>
      </c>
    </row>
    <row r="264" spans="1:9">
      <c r="A264" s="1" t="s">
        <v>276</v>
      </c>
      <c r="B264" t="str">
        <f>HYPERLINK("https://www.suredividend.com/sure-analysis-POOL/","Pool Corporation")</f>
        <v>Pool Corporation</v>
      </c>
      <c r="C264">
        <v>-0.10412072255123</v>
      </c>
      <c r="D264">
        <v>9.4180310504494005E-2</v>
      </c>
      <c r="E264">
        <v>6.7162304598316E-2</v>
      </c>
      <c r="F264">
        <v>0.19587867561935601</v>
      </c>
      <c r="G264">
        <v>-0.21580986311864001</v>
      </c>
      <c r="H264">
        <v>0.136549748689061</v>
      </c>
      <c r="I264">
        <v>1.66451962370247</v>
      </c>
    </row>
    <row r="265" spans="1:9">
      <c r="A265" s="1" t="s">
        <v>277</v>
      </c>
      <c r="B265" t="str">
        <f>HYPERLINK("https://www.suredividend.com/sure-analysis-POR/","Portland General Electric Co")</f>
        <v>Portland General Electric Co</v>
      </c>
      <c r="C265">
        <v>-1.4052490183922E-2</v>
      </c>
      <c r="D265">
        <v>-1.2734504008244E-2</v>
      </c>
      <c r="E265">
        <v>-6.0412465339046997E-2</v>
      </c>
      <c r="F265">
        <v>-2.6326530612243999E-2</v>
      </c>
      <c r="G265">
        <v>-8.0923430191790005E-2</v>
      </c>
      <c r="H265">
        <v>0.20375837029635999</v>
      </c>
      <c r="I265">
        <v>0.42565582857467299</v>
      </c>
    </row>
    <row r="266" spans="1:9">
      <c r="A266" s="1" t="s">
        <v>278</v>
      </c>
      <c r="B266" t="str">
        <f>HYPERLINK("https://www.suredividend.com/sure-analysis-PPG/","PPG Industries, Inc.")</f>
        <v>PPG Industries, Inc.</v>
      </c>
      <c r="C266">
        <v>5.6478481917432002E-2</v>
      </c>
      <c r="D266">
        <v>5.9246076118320001E-3</v>
      </c>
      <c r="E266">
        <v>0.12195117969746599</v>
      </c>
      <c r="F266">
        <v>9.8404971509072015E-2</v>
      </c>
      <c r="G266">
        <v>0.13086286498422001</v>
      </c>
      <c r="H266">
        <v>3.1454639182219003E-2</v>
      </c>
      <c r="I266">
        <v>0.35911962744341902</v>
      </c>
    </row>
    <row r="267" spans="1:9">
      <c r="A267" s="1" t="s">
        <v>279</v>
      </c>
      <c r="B267" t="str">
        <f>HYPERLINK("https://www.suredividend.com/sure-analysis-PRGO/","Perrigo Company plc")</f>
        <v>Perrigo Company plc</v>
      </c>
      <c r="C267">
        <v>4.1666666666666012E-2</v>
      </c>
      <c r="D267">
        <v>0.21321227301189699</v>
      </c>
      <c r="E267">
        <v>6.3286832255869008E-2</v>
      </c>
      <c r="F267">
        <v>0.136696978586095</v>
      </c>
      <c r="G267">
        <v>6.3543645086565001E-2</v>
      </c>
      <c r="H267">
        <v>6.6739233784749996E-3</v>
      </c>
      <c r="I267">
        <v>-0.48670125748257098</v>
      </c>
    </row>
    <row r="268" spans="1:9">
      <c r="A268" s="1" t="s">
        <v>280</v>
      </c>
      <c r="B268" t="str">
        <f>HYPERLINK("https://www.suredividend.com/sure-analysis-PRI/","Primerica Inc")</f>
        <v>Primerica Inc</v>
      </c>
      <c r="C268">
        <v>0.14740495652115501</v>
      </c>
      <c r="D268">
        <v>0.28744853968310402</v>
      </c>
      <c r="E268">
        <v>0.54060753309604803</v>
      </c>
      <c r="F268">
        <v>0.33211305548654302</v>
      </c>
      <c r="G268">
        <v>0.52486329300791001</v>
      </c>
      <c r="H268">
        <v>0.37228823594607602</v>
      </c>
      <c r="I268">
        <v>1.0965995428031601</v>
      </c>
    </row>
    <row r="269" spans="1:9">
      <c r="A269" s="1" t="s">
        <v>281</v>
      </c>
      <c r="B269" t="str">
        <f>HYPERLINK("https://www.suredividend.com/sure-analysis-PRU/","Prudential Financial Inc.")</f>
        <v>Prudential Financial Inc.</v>
      </c>
      <c r="C269">
        <v>-1.5355994323489001E-2</v>
      </c>
      <c r="D269">
        <v>-6.8574640938720011E-2</v>
      </c>
      <c r="E269">
        <v>6.8921024127321012E-2</v>
      </c>
      <c r="F269">
        <v>8.4047297723650015E-3</v>
      </c>
      <c r="G269">
        <v>-2.3923143306365999E-2</v>
      </c>
      <c r="H269">
        <v>0.224210404058625</v>
      </c>
      <c r="I269">
        <v>0.16624390129066</v>
      </c>
    </row>
    <row r="270" spans="1:9">
      <c r="A270" s="1" t="s">
        <v>282</v>
      </c>
      <c r="B270" t="str">
        <f>HYPERLINK("https://www.suredividend.com/sure-analysis-QCOM/","Qualcomm, Inc.")</f>
        <v>Qualcomm, Inc.</v>
      </c>
      <c r="C270">
        <v>-7.8987959779493008E-2</v>
      </c>
      <c r="D270">
        <v>-1.0385349219476999E-2</v>
      </c>
      <c r="E270">
        <v>-2.5934877914807E-2</v>
      </c>
      <c r="F270">
        <v>0.13111716122537601</v>
      </c>
      <c r="G270">
        <v>-0.22030930254270001</v>
      </c>
      <c r="H270">
        <v>7.5763874962700003E-3</v>
      </c>
      <c r="I270">
        <v>1.1254058218235841</v>
      </c>
    </row>
    <row r="271" spans="1:9">
      <c r="A271" s="1" t="s">
        <v>283</v>
      </c>
      <c r="B271" t="str">
        <f>HYPERLINK("https://www.suredividend.com/sure-analysis-R/","Ryder System, Inc.")</f>
        <v>Ryder System, Inc.</v>
      </c>
      <c r="C271">
        <v>1.9465319699396001E-2</v>
      </c>
      <c r="D271">
        <v>0.106255075906031</v>
      </c>
      <c r="E271">
        <v>0.35308777901473898</v>
      </c>
      <c r="F271">
        <v>0.19574013062828699</v>
      </c>
      <c r="G271">
        <v>0.27100908905895399</v>
      </c>
      <c r="H271">
        <v>0.48289739932948511</v>
      </c>
      <c r="I271">
        <v>0.63373153825778006</v>
      </c>
    </row>
    <row r="272" spans="1:9">
      <c r="A272" s="1" t="s">
        <v>284</v>
      </c>
      <c r="B272" t="str">
        <f>HYPERLINK("https://www.suredividend.com/sure-analysis-RBCAA/","Republic Bancorp, Inc. (KY)")</f>
        <v>Republic Bancorp, Inc. (KY)</v>
      </c>
      <c r="C272">
        <v>-5.6413556413556012E-2</v>
      </c>
      <c r="D272">
        <v>-1.4013161433771E-2</v>
      </c>
      <c r="E272">
        <v>6.6721631485141E-2</v>
      </c>
      <c r="F272">
        <v>7.5024437927663001E-2</v>
      </c>
      <c r="G272">
        <v>-1.2226476102795999E-2</v>
      </c>
      <c r="H272">
        <v>8.0113535917028009E-2</v>
      </c>
      <c r="I272">
        <v>0.322426844152642</v>
      </c>
    </row>
    <row r="273" spans="1:9">
      <c r="A273" s="1" t="s">
        <v>285</v>
      </c>
      <c r="B273" t="str">
        <f>HYPERLINK("https://www.suredividend.com/sure-analysis-RGA/","Reinsurance Group Of America, Inc.")</f>
        <v>Reinsurance Group Of America, Inc.</v>
      </c>
      <c r="C273">
        <v>3.7511218824408013E-2</v>
      </c>
      <c r="D273">
        <v>2.0058790125931002E-2</v>
      </c>
      <c r="E273">
        <v>0.19040367987252901</v>
      </c>
      <c r="F273">
        <v>3.7072989194149003E-2</v>
      </c>
      <c r="G273">
        <v>0.45731116247856202</v>
      </c>
      <c r="H273">
        <v>0.24537487414984699</v>
      </c>
      <c r="I273">
        <v>8.4089809792456005E-2</v>
      </c>
    </row>
    <row r="274" spans="1:9">
      <c r="A274" s="1" t="s">
        <v>286</v>
      </c>
      <c r="B274" t="str">
        <f>HYPERLINK("https://www.suredividend.com/sure-analysis-RGLD/","Royal Gold, Inc.")</f>
        <v>Royal Gold, Inc.</v>
      </c>
      <c r="C274">
        <v>-0.11246730601569301</v>
      </c>
      <c r="D274">
        <v>3.0661685075919999E-3</v>
      </c>
      <c r="E274">
        <v>0.19375299824103201</v>
      </c>
      <c r="F274">
        <v>-3.4298814403719998E-3</v>
      </c>
      <c r="G274">
        <v>-0.13114119382348299</v>
      </c>
      <c r="H274">
        <v>0.10336102410190499</v>
      </c>
      <c r="I274">
        <v>0.44095222776258602</v>
      </c>
    </row>
    <row r="275" spans="1:9">
      <c r="A275" s="1" t="s">
        <v>287</v>
      </c>
      <c r="B275" t="str">
        <f>HYPERLINK("https://www.suredividend.com/sure-analysis-RHI/","Robert Half International Inc.")</f>
        <v>Robert Half International Inc.</v>
      </c>
      <c r="C275">
        <v>-6.0326528442686003E-2</v>
      </c>
      <c r="D275">
        <v>5.5859814224763008E-2</v>
      </c>
      <c r="E275">
        <v>8.1604477512682003E-2</v>
      </c>
      <c r="F275">
        <v>0.108058907529132</v>
      </c>
      <c r="G275">
        <v>-0.28966316651947999</v>
      </c>
      <c r="H275">
        <v>0.113205558361841</v>
      </c>
      <c r="I275">
        <v>0.54943049093243901</v>
      </c>
    </row>
    <row r="276" spans="1:9">
      <c r="A276" s="1" t="s">
        <v>288</v>
      </c>
      <c r="B276" t="str">
        <f>HYPERLINK("https://www.suredividend.com/sure-analysis-RJF/","Raymond James Financial, Inc.")</f>
        <v>Raymond James Financial, Inc.</v>
      </c>
      <c r="C276">
        <v>-3.5130061678733997E-2</v>
      </c>
      <c r="D276">
        <v>-9.0622646310003011E-2</v>
      </c>
      <c r="E276">
        <v>5.0605017675548002E-2</v>
      </c>
      <c r="F276">
        <v>1.0201216658867E-2</v>
      </c>
      <c r="G276">
        <v>9.608126070669501E-2</v>
      </c>
      <c r="H276">
        <v>0.42490911155055511</v>
      </c>
      <c r="I276">
        <v>0.90470476546756406</v>
      </c>
    </row>
    <row r="277" spans="1:9">
      <c r="A277" s="1" t="s">
        <v>289</v>
      </c>
      <c r="B277" t="str">
        <f>HYPERLINK("https://www.suredividend.com/sure-analysis-RLI/","RLI Corp.")</f>
        <v>RLI Corp.</v>
      </c>
      <c r="C277">
        <v>2.9882672842018999E-2</v>
      </c>
      <c r="D277">
        <v>3.2147652893805001E-2</v>
      </c>
      <c r="E277">
        <v>0.24961127907126501</v>
      </c>
      <c r="F277">
        <v>3.6708424038323001E-2</v>
      </c>
      <c r="G277">
        <v>0.32403202944806297</v>
      </c>
      <c r="H277">
        <v>0.329394676157029</v>
      </c>
      <c r="I277">
        <v>1.3717513275835269</v>
      </c>
    </row>
    <row r="278" spans="1:9">
      <c r="A278" s="1" t="s">
        <v>290</v>
      </c>
      <c r="B278" t="str">
        <f>HYPERLINK("https://www.suredividend.com/sure-analysis-RNR/","RenaissanceRe Holdings Ltd")</f>
        <v>RenaissanceRe Holdings Ltd</v>
      </c>
      <c r="C278">
        <v>3.2700984910968997E-2</v>
      </c>
      <c r="D278">
        <v>0.135470090485523</v>
      </c>
      <c r="E278">
        <v>0.55206471639544707</v>
      </c>
      <c r="F278">
        <v>0.15534929164631101</v>
      </c>
      <c r="G278">
        <v>0.48707533467054798</v>
      </c>
      <c r="H278">
        <v>0.35401107890859701</v>
      </c>
      <c r="I278">
        <v>0.76332434481130307</v>
      </c>
    </row>
    <row r="279" spans="1:9">
      <c r="A279" s="1" t="s">
        <v>291</v>
      </c>
      <c r="B279" t="str">
        <f>HYPERLINK("https://www.suredividend.com/sure-analysis-ROK/","Rockwell Automation Inc")</f>
        <v>Rockwell Automation Inc</v>
      </c>
      <c r="C279">
        <v>4.7736247055090997E-2</v>
      </c>
      <c r="D279">
        <v>0.144305210580294</v>
      </c>
      <c r="E279">
        <v>0.28811801696489597</v>
      </c>
      <c r="F279">
        <v>0.179491297358569</v>
      </c>
      <c r="G279">
        <v>0.15085919841110701</v>
      </c>
      <c r="H279">
        <v>0.27722691618860501</v>
      </c>
      <c r="I279">
        <v>0.87365941616180609</v>
      </c>
    </row>
    <row r="280" spans="1:9">
      <c r="A280" s="1" t="s">
        <v>292</v>
      </c>
      <c r="B280" t="str">
        <f>HYPERLINK("https://www.suredividend.com/sure-analysis-ROP/","Roper Technologies Inc")</f>
        <v>Roper Technologies Inc</v>
      </c>
      <c r="C280">
        <v>-5.3446112376200007E-4</v>
      </c>
      <c r="D280">
        <v>-2.9480672537784001E-2</v>
      </c>
      <c r="E280">
        <v>7.6246042992289001E-2</v>
      </c>
      <c r="F280">
        <v>-3.0214631670070001E-3</v>
      </c>
      <c r="G280">
        <v>-4.8103621282854003E-2</v>
      </c>
      <c r="H280">
        <v>0.169572674022575</v>
      </c>
      <c r="I280">
        <v>0.64873897975291306</v>
      </c>
    </row>
    <row r="281" spans="1:9">
      <c r="A281" s="1" t="s">
        <v>293</v>
      </c>
      <c r="B281" t="str">
        <f>HYPERLINK("https://www.suredividend.com/sure-analysis-RPM/","RPM International, Inc.")</f>
        <v>RPM International, Inc.</v>
      </c>
      <c r="C281">
        <v>-3.5014771856869999E-3</v>
      </c>
      <c r="D281">
        <v>-0.12480911959084</v>
      </c>
      <c r="E281">
        <v>-6.4021436489160007E-3</v>
      </c>
      <c r="F281">
        <v>-6.0864866425635003E-2</v>
      </c>
      <c r="G281">
        <v>0.14065488394929301</v>
      </c>
      <c r="H281">
        <v>0.17557003593704801</v>
      </c>
      <c r="I281">
        <v>1.03407017285241</v>
      </c>
    </row>
    <row r="282" spans="1:9">
      <c r="A282" s="1" t="s">
        <v>294</v>
      </c>
      <c r="B282" t="str">
        <f>HYPERLINK("https://www.suredividend.com/sure-analysis-RRX/","Regal Rexnord Corp")</f>
        <v>Regal Rexnord Corp</v>
      </c>
      <c r="C282">
        <v>3.2560214094557997E-2</v>
      </c>
      <c r="D282">
        <v>0.28995949025704398</v>
      </c>
      <c r="E282">
        <v>0.199367343902765</v>
      </c>
      <c r="F282">
        <v>0.350641773628938</v>
      </c>
      <c r="G282">
        <v>5.3669181037986007E-2</v>
      </c>
      <c r="H282">
        <v>0.25774887400235802</v>
      </c>
      <c r="I282">
        <v>1.559647446275835</v>
      </c>
    </row>
    <row r="283" spans="1:9">
      <c r="A283" s="1" t="s">
        <v>295</v>
      </c>
      <c r="B283" t="str">
        <f>HYPERLINK("https://www.suredividend.com/sure-analysis-RS/","Reliance Steel &amp; Aluminum Co.")</f>
        <v>Reliance Steel &amp; Aluminum Co.</v>
      </c>
      <c r="C283">
        <v>0.118383632582028</v>
      </c>
      <c r="D283">
        <v>0.23583489681050601</v>
      </c>
      <c r="E283">
        <v>0.43879077793431798</v>
      </c>
      <c r="F283">
        <v>0.30152143845089902</v>
      </c>
      <c r="G283">
        <v>0.42067527907469499</v>
      </c>
      <c r="H283">
        <v>0.9995568008305431</v>
      </c>
      <c r="I283">
        <v>2.155010800894726</v>
      </c>
    </row>
    <row r="284" spans="1:9">
      <c r="A284" s="1" t="s">
        <v>296</v>
      </c>
      <c r="B284" t="str">
        <f>HYPERLINK("https://www.suredividend.com/sure-analysis-RSG/","Republic Services, Inc.")</f>
        <v>Republic Services, Inc.</v>
      </c>
      <c r="C284">
        <v>4.7611309717257001E-2</v>
      </c>
      <c r="D284">
        <v>-7.892105037574601E-2</v>
      </c>
      <c r="E284">
        <v>-9.028758172701401E-2</v>
      </c>
      <c r="F284">
        <v>-3.8762694782499998E-4</v>
      </c>
      <c r="G284">
        <v>6.4253868345130003E-3</v>
      </c>
      <c r="H284">
        <v>0.45322167998467211</v>
      </c>
      <c r="I284">
        <v>1.115532279340828</v>
      </c>
    </row>
    <row r="285" spans="1:9">
      <c r="A285" s="1" t="s">
        <v>297</v>
      </c>
      <c r="B285" t="str">
        <f>HYPERLINK("https://www.suredividend.com/sure-analysis-RTX/","Raytheon Technologies Corporation")</f>
        <v>Raytheon Technologies Corporation</v>
      </c>
      <c r="C285">
        <v>3.1973244983693999E-2</v>
      </c>
      <c r="D285">
        <v>-1.4307571475641E-2</v>
      </c>
      <c r="E285">
        <v>0.14337972515931799</v>
      </c>
      <c r="F285">
        <v>-1.3428609573986E-2</v>
      </c>
      <c r="G285">
        <v>1.7508921956387001E-2</v>
      </c>
      <c r="H285">
        <v>0.39385672639332803</v>
      </c>
      <c r="I285">
        <v>3.2599362197399998E-3</v>
      </c>
    </row>
    <row r="286" spans="1:9">
      <c r="A286" s="1" t="s">
        <v>298</v>
      </c>
      <c r="B286" t="str">
        <f>HYPERLINK("https://www.suredividend.com/sure-analysis-research-database/","Sandy Spring Bancorp")</f>
        <v>Sandy Spring Bancorp</v>
      </c>
      <c r="C286">
        <v>-0.109752460483149</v>
      </c>
      <c r="D286">
        <v>-0.13246919321088099</v>
      </c>
      <c r="E286">
        <v>-0.22178481111661399</v>
      </c>
      <c r="F286">
        <v>-0.144289674428738</v>
      </c>
      <c r="G286">
        <v>-0.30606731960656203</v>
      </c>
      <c r="H286">
        <v>-0.217260648270762</v>
      </c>
      <c r="I286">
        <v>-0.11860062716658799</v>
      </c>
    </row>
    <row r="287" spans="1:9">
      <c r="A287" s="1" t="s">
        <v>299</v>
      </c>
      <c r="B287" t="str">
        <f>HYPERLINK("https://www.suredividend.com/sure-analysis-SBSI/","Southside Bancshares Inc")</f>
        <v>Southside Bancshares Inc</v>
      </c>
      <c r="C287">
        <v>-2.948115010114E-2</v>
      </c>
      <c r="D287">
        <v>6.9027253951149004E-2</v>
      </c>
      <c r="E287">
        <v>2.2992147974693001E-2</v>
      </c>
      <c r="F287">
        <v>6.8137019871077009E-2</v>
      </c>
      <c r="G287">
        <v>-4.6559530275082001E-2</v>
      </c>
      <c r="H287">
        <v>8.0353699208203011E-2</v>
      </c>
      <c r="I287">
        <v>0.29408008044051998</v>
      </c>
    </row>
    <row r="288" spans="1:9">
      <c r="A288" s="1" t="s">
        <v>300</v>
      </c>
      <c r="B288" t="str">
        <f>HYPERLINK("https://www.suredividend.com/sure-analysis-SBUX/","Starbucks Corp.")</f>
        <v>Starbucks Corp.</v>
      </c>
      <c r="C288">
        <v>7.4195413374440007E-3</v>
      </c>
      <c r="D288">
        <v>2.2769410922800001E-4</v>
      </c>
      <c r="E288">
        <v>0.28155939607968999</v>
      </c>
      <c r="F288">
        <v>5.9212565877854013E-2</v>
      </c>
      <c r="G288">
        <v>0.19572489749704</v>
      </c>
      <c r="H288">
        <v>4.4134272371736998E-2</v>
      </c>
      <c r="I288">
        <v>1.04429201601802</v>
      </c>
    </row>
    <row r="289" spans="1:9">
      <c r="A289" s="1" t="s">
        <v>301</v>
      </c>
      <c r="B289" t="str">
        <f>HYPERLINK("https://www.suredividend.com/sure-analysis-SCI/","Service Corp. International")</f>
        <v>Service Corp. International</v>
      </c>
      <c r="C289">
        <v>-8.413494106489601E-2</v>
      </c>
      <c r="D289">
        <v>-4.4581036064239001E-2</v>
      </c>
      <c r="E289">
        <v>0.106486202477154</v>
      </c>
      <c r="F289">
        <v>-2.2273647671390999E-2</v>
      </c>
      <c r="G289">
        <v>0.10942436302465799</v>
      </c>
      <c r="H289">
        <v>0.50987561394535408</v>
      </c>
      <c r="I289">
        <v>0.94076643048266406</v>
      </c>
    </row>
    <row r="290" spans="1:9">
      <c r="A290" s="1" t="s">
        <v>302</v>
      </c>
      <c r="B290" t="str">
        <f>HYPERLINK("https://www.suredividend.com/sure-analysis-SCL/","Stepan Co.")</f>
        <v>Stepan Co.</v>
      </c>
      <c r="C290">
        <v>-6.6341967122409001E-2</v>
      </c>
      <c r="D290">
        <v>-6.387670062693801E-2</v>
      </c>
      <c r="E290">
        <v>5.0400801702526997E-2</v>
      </c>
      <c r="F290">
        <v>-1.0934524819479999E-3</v>
      </c>
      <c r="G290">
        <v>4.9306617949211998E-2</v>
      </c>
      <c r="H290">
        <v>-9.4117878370557004E-2</v>
      </c>
      <c r="I290">
        <v>0.37134323568158201</v>
      </c>
    </row>
    <row r="291" spans="1:9">
      <c r="A291" s="1" t="s">
        <v>303</v>
      </c>
      <c r="B291" t="str">
        <f>HYPERLINK("https://www.suredividend.com/sure-analysis-SEIC/","SEI Investments Co.")</f>
        <v>SEI Investments Co.</v>
      </c>
      <c r="C291">
        <v>-5.3149914022197001E-2</v>
      </c>
      <c r="D291">
        <v>-3.3958965983617001E-2</v>
      </c>
      <c r="E291">
        <v>0.133058097053525</v>
      </c>
      <c r="F291">
        <v>3.8936535162950002E-2</v>
      </c>
      <c r="G291">
        <v>5.9851792229153003E-2</v>
      </c>
      <c r="H291">
        <v>0.105114507159434</v>
      </c>
      <c r="I291">
        <v>-0.12044156534391599</v>
      </c>
    </row>
    <row r="292" spans="1:9">
      <c r="A292" s="1" t="s">
        <v>304</v>
      </c>
      <c r="B292" t="str">
        <f>HYPERLINK("https://www.suredividend.com/sure-analysis-research-database/","Simmons First National Corp.")</f>
        <v>Simmons First National Corp.</v>
      </c>
      <c r="C292">
        <v>-6.9332199064228009E-2</v>
      </c>
      <c r="D292">
        <v>-2.9767685233222999E-2</v>
      </c>
      <c r="E292">
        <v>-5.2120382444299007E-2</v>
      </c>
      <c r="F292">
        <v>1.3901760889711999E-2</v>
      </c>
      <c r="G292">
        <v>-0.184151357075473</v>
      </c>
      <c r="H292">
        <v>-0.24789286254451401</v>
      </c>
      <c r="I292">
        <v>-0.13594629282258799</v>
      </c>
    </row>
    <row r="293" spans="1:9">
      <c r="A293" s="1" t="s">
        <v>305</v>
      </c>
      <c r="B293" t="str">
        <f>HYPERLINK("https://www.suredividend.com/sure-analysis-SHW/","Sherwin-Williams Co.")</f>
        <v>Sherwin-Williams Co.</v>
      </c>
      <c r="C293">
        <v>-6.3188675325029003E-2</v>
      </c>
      <c r="D293">
        <v>-0.13292018672776301</v>
      </c>
      <c r="E293">
        <v>-8.1404057803535004E-2</v>
      </c>
      <c r="F293">
        <v>-7.0372894417632004E-2</v>
      </c>
      <c r="G293">
        <v>-7.3495867723355007E-2</v>
      </c>
      <c r="H293">
        <v>-2.3618553155611E-2</v>
      </c>
      <c r="I293">
        <v>0.70679810323014003</v>
      </c>
    </row>
    <row r="294" spans="1:9">
      <c r="A294" s="1" t="s">
        <v>306</v>
      </c>
      <c r="B294" t="str">
        <f>HYPERLINK("https://www.suredividend.com/sure-analysis-SJM/","J.M. Smucker Co.")</f>
        <v>J.M. Smucker Co.</v>
      </c>
      <c r="C294">
        <v>1.2470575913136999E-2</v>
      </c>
      <c r="D294">
        <v>-1.6897241640529002E-2</v>
      </c>
      <c r="E294">
        <v>9.9606241796704006E-2</v>
      </c>
      <c r="F294">
        <v>-4.1775536554865003E-2</v>
      </c>
      <c r="G294">
        <v>0.16755588280154499</v>
      </c>
      <c r="H294">
        <v>0.38388997891127802</v>
      </c>
      <c r="I294">
        <v>0.372453725192535</v>
      </c>
    </row>
    <row r="295" spans="1:9">
      <c r="A295" s="1" t="s">
        <v>307</v>
      </c>
      <c r="B295" t="str">
        <f>HYPERLINK("https://www.suredividend.com/sure-analysis-SJW/","SJW Group")</f>
        <v>SJW Group</v>
      </c>
      <c r="C295">
        <v>-5.0732807215332007E-2</v>
      </c>
      <c r="D295">
        <v>2.3492516268101001E-2</v>
      </c>
      <c r="E295">
        <v>0.194002571406963</v>
      </c>
      <c r="F295">
        <v>-6.2228525181725003E-2</v>
      </c>
      <c r="G295">
        <v>0.13781221143667899</v>
      </c>
      <c r="H295">
        <v>0.28749677191360901</v>
      </c>
      <c r="I295">
        <v>0.60890011783314402</v>
      </c>
    </row>
    <row r="296" spans="1:9">
      <c r="A296" s="1" t="s">
        <v>308</v>
      </c>
      <c r="B296" t="str">
        <f>HYPERLINK("https://www.suredividend.com/sure-analysis-SLGN/","Silgan Holdings Inc.")</f>
        <v>Silgan Holdings Inc.</v>
      </c>
      <c r="C296">
        <v>-3.0999270605390002E-3</v>
      </c>
      <c r="D296">
        <v>9.0439276485780005E-3</v>
      </c>
      <c r="E296">
        <v>0.21700106184288701</v>
      </c>
      <c r="F296">
        <v>5.4591049382715001E-2</v>
      </c>
      <c r="G296">
        <v>0.32027946358062098</v>
      </c>
      <c r="H296">
        <v>0.44258298084560099</v>
      </c>
      <c r="I296">
        <v>1.079798525462029</v>
      </c>
    </row>
    <row r="297" spans="1:9">
      <c r="A297" s="1" t="s">
        <v>309</v>
      </c>
      <c r="B297" t="str">
        <f>HYPERLINK("https://www.suredividend.com/sure-analysis-research-database/","Southern Missouri Bancorp, Inc.")</f>
        <v>Southern Missouri Bancorp, Inc.</v>
      </c>
      <c r="C297">
        <v>-0.17299315494710599</v>
      </c>
      <c r="D297">
        <v>-0.12143074353357999</v>
      </c>
      <c r="E297">
        <v>-0.24066544142153801</v>
      </c>
      <c r="F297">
        <v>-0.126223167030101</v>
      </c>
      <c r="G297">
        <v>-0.19512106493537901</v>
      </c>
      <c r="H297">
        <v>3.6276163568927003E-2</v>
      </c>
      <c r="I297">
        <v>0.15307196649815399</v>
      </c>
    </row>
    <row r="298" spans="1:9">
      <c r="A298" s="1" t="s">
        <v>310</v>
      </c>
      <c r="B298" t="str">
        <f>HYPERLINK("https://www.suredividend.com/sure-analysis-SMG/","Scotts Miracle-Gro Company")</f>
        <v>Scotts Miracle-Gro Company</v>
      </c>
      <c r="C298">
        <v>4.4667307892591997E-2</v>
      </c>
      <c r="D298">
        <v>0.541610464001967</v>
      </c>
      <c r="E298">
        <v>0.40524486301087598</v>
      </c>
      <c r="F298">
        <v>0.76877691752346311</v>
      </c>
      <c r="G298">
        <v>-0.36784084952224699</v>
      </c>
      <c r="H298">
        <v>-0.55394068760937609</v>
      </c>
      <c r="I298">
        <v>2.3298463251990999E-2</v>
      </c>
    </row>
    <row r="299" spans="1:9">
      <c r="A299" s="1" t="s">
        <v>311</v>
      </c>
      <c r="B299" t="str">
        <f>HYPERLINK("https://www.suredividend.com/sure-analysis-SNA/","Snap-on, Inc.")</f>
        <v>Snap-on, Inc.</v>
      </c>
      <c r="C299">
        <v>-3.0432630187001E-2</v>
      </c>
      <c r="D299">
        <v>2.7750918544678E-2</v>
      </c>
      <c r="E299">
        <v>0.18790173616042199</v>
      </c>
      <c r="F299">
        <v>0.101832981328314</v>
      </c>
      <c r="G299">
        <v>0.237392915542119</v>
      </c>
      <c r="H299">
        <v>0.23855291854768801</v>
      </c>
      <c r="I299">
        <v>0.83499835649887311</v>
      </c>
    </row>
    <row r="300" spans="1:9">
      <c r="A300" s="1" t="s">
        <v>312</v>
      </c>
      <c r="B300" t="str">
        <f>HYPERLINK("https://www.suredividend.com/sure-analysis-SO/","Southern Company")</f>
        <v>Southern Company</v>
      </c>
      <c r="C300">
        <v>-2.6517302186693001E-2</v>
      </c>
      <c r="D300">
        <v>-2.7529570993641998E-2</v>
      </c>
      <c r="E300">
        <v>-0.150130870142199</v>
      </c>
      <c r="F300">
        <v>-8.295565331450401E-2</v>
      </c>
      <c r="G300">
        <v>-2.9506875194219998E-3</v>
      </c>
      <c r="H300">
        <v>0.22273098597660901</v>
      </c>
      <c r="I300">
        <v>0.82137025722885304</v>
      </c>
    </row>
    <row r="301" spans="1:9">
      <c r="A301" s="1" t="s">
        <v>313</v>
      </c>
      <c r="B301" t="str">
        <f>HYPERLINK("https://www.suredividend.com/sure-analysis-SON/","Sonoco Products Co.")</f>
        <v>Sonoco Products Co.</v>
      </c>
      <c r="C301">
        <v>-2.5351202971095999E-2</v>
      </c>
      <c r="D301">
        <v>-3.2227032227032E-2</v>
      </c>
      <c r="E301">
        <v>-2.6834600576547001E-2</v>
      </c>
      <c r="F301">
        <v>-5.7651128314940006E-3</v>
      </c>
      <c r="G301">
        <v>8.2158723784184012E-2</v>
      </c>
      <c r="H301">
        <v>4.7903931723050998E-2</v>
      </c>
      <c r="I301">
        <v>0.43677682114318411</v>
      </c>
    </row>
    <row r="302" spans="1:9">
      <c r="A302" s="1" t="s">
        <v>314</v>
      </c>
      <c r="B302" t="str">
        <f>HYPERLINK("https://www.suredividend.com/sure-analysis-SPGI/","S&amp;P Global Inc")</f>
        <v>S&amp;P Global Inc</v>
      </c>
      <c r="C302">
        <v>-6.9555730135403004E-2</v>
      </c>
      <c r="D302">
        <v>-3.5653001159768001E-2</v>
      </c>
      <c r="E302">
        <v>-1.892847470757E-3</v>
      </c>
      <c r="F302">
        <v>3.5922786080612001E-2</v>
      </c>
      <c r="G302">
        <v>-0.14461763120357299</v>
      </c>
      <c r="H302">
        <v>7.2240777806007003E-2</v>
      </c>
      <c r="I302">
        <v>0.90212940438016809</v>
      </c>
    </row>
    <row r="303" spans="1:9">
      <c r="A303" s="1" t="s">
        <v>315</v>
      </c>
      <c r="B303" t="str">
        <f>HYPERLINK("https://www.suredividend.com/sure-analysis-SPTN/","SpartanNash Co")</f>
        <v>SpartanNash Co</v>
      </c>
      <c r="C303">
        <v>-0.125390869293308</v>
      </c>
      <c r="D303">
        <v>-0.16628165193674799</v>
      </c>
      <c r="E303">
        <v>-4.2814952209191001E-2</v>
      </c>
      <c r="F303">
        <v>-7.5066137566137003E-2</v>
      </c>
      <c r="G303">
        <v>-0.12893179694799101</v>
      </c>
      <c r="H303">
        <v>0.57260286295809004</v>
      </c>
      <c r="I303">
        <v>0.86503967460158604</v>
      </c>
    </row>
    <row r="304" spans="1:9">
      <c r="A304" s="1" t="s">
        <v>316</v>
      </c>
      <c r="B304" t="str">
        <f>HYPERLINK("https://www.suredividend.com/sure-analysis-SR/","Spire Inc.")</f>
        <v>Spire Inc.</v>
      </c>
      <c r="C304">
        <v>-7.4216166159544003E-2</v>
      </c>
      <c r="D304">
        <v>2.8804466875524001E-2</v>
      </c>
      <c r="E304">
        <v>3.4966731099432997E-2</v>
      </c>
      <c r="F304">
        <v>1.6264885274469999E-2</v>
      </c>
      <c r="G304">
        <v>2.8183209965061001E-2</v>
      </c>
      <c r="H304">
        <v>0.11292764538989</v>
      </c>
      <c r="I304">
        <v>0.23337768887087201</v>
      </c>
    </row>
    <row r="305" spans="1:9">
      <c r="A305" s="1" t="s">
        <v>317</v>
      </c>
      <c r="B305" t="str">
        <f>HYPERLINK("https://www.suredividend.com/sure-analysis-SRCE/","1st Source Corp.")</f>
        <v>1st Source Corp.</v>
      </c>
      <c r="C305">
        <v>-2.2016905838411E-2</v>
      </c>
      <c r="D305">
        <v>-0.111459581680529</v>
      </c>
      <c r="E305">
        <v>7.0233106451085006E-2</v>
      </c>
      <c r="F305">
        <v>-5.6897068134684002E-2</v>
      </c>
      <c r="G305">
        <v>6.5673323465591002E-2</v>
      </c>
      <c r="H305">
        <v>0.140942521723774</v>
      </c>
      <c r="I305">
        <v>0.117711286749673</v>
      </c>
    </row>
    <row r="306" spans="1:9">
      <c r="A306" s="1" t="s">
        <v>318</v>
      </c>
      <c r="B306" t="str">
        <f>HYPERLINK("https://www.suredividend.com/sure-analysis-SRE/","Sempra Energy")</f>
        <v>Sempra Energy</v>
      </c>
      <c r="C306">
        <v>-3.2135984605515998E-2</v>
      </c>
      <c r="D306">
        <v>-8.3939527502455008E-2</v>
      </c>
      <c r="E306">
        <v>-8.2398643635718E-2</v>
      </c>
      <c r="F306">
        <v>-2.3618480652257998E-2</v>
      </c>
      <c r="G306">
        <v>2.2732048134626998E-2</v>
      </c>
      <c r="H306">
        <v>0.362487132718111</v>
      </c>
      <c r="I306">
        <v>0.63926055649468205</v>
      </c>
    </row>
    <row r="307" spans="1:9">
      <c r="A307" s="1" t="s">
        <v>319</v>
      </c>
      <c r="B307" t="str">
        <f>HYPERLINK("https://www.suredividend.com/sure-analysis-research-database/","SouthState Corporation")</f>
        <v>SouthState Corporation</v>
      </c>
      <c r="C307">
        <v>-2.161670049005E-2</v>
      </c>
      <c r="D307">
        <v>-7.8686035750309011E-2</v>
      </c>
      <c r="E307">
        <v>4.1140318922666001E-2</v>
      </c>
      <c r="F307">
        <v>5.0775628963139002E-2</v>
      </c>
      <c r="G307">
        <v>-2.6117967476198999E-2</v>
      </c>
      <c r="H307">
        <v>3.7284484440732013E-2</v>
      </c>
      <c r="I307">
        <v>2.4653886977104002E-2</v>
      </c>
    </row>
    <row r="308" spans="1:9">
      <c r="A308" s="1" t="s">
        <v>320</v>
      </c>
      <c r="B308" t="str">
        <f>HYPERLINK("https://www.suredividend.com/sure-analysis-STAG/","STAG Industrial Inc")</f>
        <v>STAG Industrial Inc</v>
      </c>
      <c r="C308">
        <v>-5.4178094311244013E-2</v>
      </c>
      <c r="D308">
        <v>4.6027023638804003E-2</v>
      </c>
      <c r="E308">
        <v>0.15708013989136099</v>
      </c>
      <c r="F308">
        <v>6.6270204900915008E-2</v>
      </c>
      <c r="G308">
        <v>-0.10711489272850599</v>
      </c>
      <c r="H308">
        <v>0.17432213018807699</v>
      </c>
      <c r="I308">
        <v>0.88426711317720108</v>
      </c>
    </row>
    <row r="309" spans="1:9">
      <c r="A309" s="1" t="s">
        <v>321</v>
      </c>
      <c r="B309" t="str">
        <f>HYPERLINK("https://www.suredividend.com/sure-analysis-STE/","Steris Plc")</f>
        <v>Steris Plc</v>
      </c>
      <c r="C309">
        <v>-0.13056175002654699</v>
      </c>
      <c r="D309">
        <v>-7.6960368440180003E-3</v>
      </c>
      <c r="E309">
        <v>-4.1151970471821002E-2</v>
      </c>
      <c r="F309">
        <v>3.1095719012167001E-2</v>
      </c>
      <c r="G309">
        <v>-0.21956819256595</v>
      </c>
      <c r="H309">
        <v>0.12642864301373999</v>
      </c>
      <c r="I309">
        <v>1.21464897901126</v>
      </c>
    </row>
    <row r="310" spans="1:9">
      <c r="A310" s="1" t="s">
        <v>322</v>
      </c>
      <c r="B310" t="str">
        <f>HYPERLINK("https://www.suredividend.com/sure-analysis-STT/","State Street Corp.")</f>
        <v>State Street Corp.</v>
      </c>
      <c r="C310">
        <v>-7.2463768115940009E-3</v>
      </c>
      <c r="D310">
        <v>0.172838705493222</v>
      </c>
      <c r="E310">
        <v>0.36071415672441398</v>
      </c>
      <c r="F310">
        <v>0.16565682609256099</v>
      </c>
      <c r="G310">
        <v>0.161324130419705</v>
      </c>
      <c r="H310">
        <v>0.22605551013102601</v>
      </c>
      <c r="I310">
        <v>3.0450771253139998E-3</v>
      </c>
    </row>
    <row r="311" spans="1:9">
      <c r="A311" s="1" t="s">
        <v>323</v>
      </c>
      <c r="B311" t="str">
        <f>HYPERLINK("https://www.suredividend.com/sure-analysis-SWK/","Stanley Black &amp; Decker Inc")</f>
        <v>Stanley Black &amp; Decker Inc</v>
      </c>
      <c r="C311">
        <v>-6.9921125559582006E-2</v>
      </c>
      <c r="D311">
        <v>6.4925555284354008E-2</v>
      </c>
      <c r="E311">
        <v>2.7583177594306001E-2</v>
      </c>
      <c r="F311">
        <v>0.161608093716719</v>
      </c>
      <c r="G311">
        <v>-0.44324528152609199</v>
      </c>
      <c r="H311">
        <v>-0.49589774222731597</v>
      </c>
      <c r="I311">
        <v>-0.36611297804859211</v>
      </c>
    </row>
    <row r="312" spans="1:9">
      <c r="A312" s="1" t="s">
        <v>324</v>
      </c>
      <c r="B312" t="str">
        <f>HYPERLINK("https://www.suredividend.com/sure-analysis-SWX/","Southwest Gas Holdings Inc")</f>
        <v>Southwest Gas Holdings Inc</v>
      </c>
      <c r="C312">
        <v>-8.3944214220791E-2</v>
      </c>
      <c r="D312">
        <v>-0.10309037883548799</v>
      </c>
      <c r="E312">
        <v>-0.23428456912810899</v>
      </c>
      <c r="F312">
        <v>-1.5254823408128001E-2</v>
      </c>
      <c r="G312">
        <v>-0.15198763871330201</v>
      </c>
      <c r="H312">
        <v>-8.6604682630120004E-3</v>
      </c>
      <c r="I312">
        <v>9.8747097065396014E-2</v>
      </c>
    </row>
    <row r="313" spans="1:9">
      <c r="A313" s="1" t="s">
        <v>325</v>
      </c>
      <c r="B313" t="str">
        <f>HYPERLINK("https://www.suredividend.com/sure-analysis-SXI/","Standex International Corp.")</f>
        <v>Standex International Corp.</v>
      </c>
      <c r="C313">
        <v>2.1104460271544001E-2</v>
      </c>
      <c r="D313">
        <v>0.132500494695272</v>
      </c>
      <c r="E313">
        <v>0.39947502303292898</v>
      </c>
      <c r="F313">
        <v>0.18193198312252801</v>
      </c>
      <c r="G313">
        <v>0.13770830349942301</v>
      </c>
      <c r="H313">
        <v>0.223232916675107</v>
      </c>
      <c r="I313">
        <v>0.32907038812245099</v>
      </c>
    </row>
    <row r="314" spans="1:9">
      <c r="A314" s="1" t="s">
        <v>326</v>
      </c>
      <c r="B314" t="str">
        <f>HYPERLINK("https://www.suredividend.com/sure-analysis-SXT/","Sensient Technologies Corp.")</f>
        <v>Sensient Technologies Corp.</v>
      </c>
      <c r="C314">
        <v>-2.4721403868323E-2</v>
      </c>
      <c r="D314">
        <v>1.1762704837431999E-2</v>
      </c>
      <c r="E314">
        <v>-8.1197655650550003E-3</v>
      </c>
      <c r="F314">
        <v>4.9642261404210013E-2</v>
      </c>
      <c r="G314">
        <v>-2.0531028095091001E-2</v>
      </c>
      <c r="H314">
        <v>6.9741106916507006E-2</v>
      </c>
      <c r="I314">
        <v>0.188678980177755</v>
      </c>
    </row>
    <row r="315" spans="1:9">
      <c r="A315" s="1" t="s">
        <v>327</v>
      </c>
      <c r="B315" t="str">
        <f>HYPERLINK("https://www.suredividend.com/sure-analysis-research-database/","Stock Yards Bancorp Inc")</f>
        <v>Stock Yards Bancorp Inc</v>
      </c>
      <c r="C315">
        <v>-8.1535532994923013E-2</v>
      </c>
      <c r="D315">
        <v>-0.21565546277682299</v>
      </c>
      <c r="E315">
        <v>-0.109651287776388</v>
      </c>
      <c r="F315">
        <v>-0.108956602031394</v>
      </c>
      <c r="G315">
        <v>0.13034497972602299</v>
      </c>
      <c r="H315">
        <v>0.16723045846554499</v>
      </c>
      <c r="I315">
        <v>0.82431155082235807</v>
      </c>
    </row>
    <row r="316" spans="1:9">
      <c r="A316" s="1" t="s">
        <v>328</v>
      </c>
      <c r="B316" t="str">
        <f>HYPERLINK("https://www.suredividend.com/sure-analysis-SYK/","Stryker Corp.")</f>
        <v>Stryker Corp.</v>
      </c>
      <c r="C316">
        <v>-4.1004450095359003E-2</v>
      </c>
      <c r="D316">
        <v>0.120378947455287</v>
      </c>
      <c r="E316">
        <v>0.34127504362984401</v>
      </c>
      <c r="F316">
        <v>0.110597570452779</v>
      </c>
      <c r="G316">
        <v>2.9434400616908999E-2</v>
      </c>
      <c r="H316">
        <v>0.17774273133256299</v>
      </c>
      <c r="I316">
        <v>0.78767764524016703</v>
      </c>
    </row>
    <row r="317" spans="1:9">
      <c r="A317" s="1" t="s">
        <v>329</v>
      </c>
      <c r="B317" t="str">
        <f>HYPERLINK("https://www.suredividend.com/sure-analysis-SYY/","Sysco Corp.")</f>
        <v>Sysco Corp.</v>
      </c>
      <c r="C317">
        <v>-5.9958289885290008E-3</v>
      </c>
      <c r="D317">
        <v>-0.100545263473244</v>
      </c>
      <c r="E317">
        <v>-4.3676615723782002E-2</v>
      </c>
      <c r="F317">
        <v>3.9296222428460001E-3</v>
      </c>
      <c r="G317">
        <v>-8.0265138358226004E-2</v>
      </c>
      <c r="H317">
        <v>7.2007058065259996E-3</v>
      </c>
      <c r="I317">
        <v>0.43952521717463411</v>
      </c>
    </row>
    <row r="318" spans="1:9">
      <c r="A318" s="1" t="s">
        <v>330</v>
      </c>
      <c r="B318" t="str">
        <f>HYPERLINK("https://www.suredividend.com/sure-analysis-TDS/","Telephone And Data Systems, Inc.")</f>
        <v>Telephone And Data Systems, Inc.</v>
      </c>
      <c r="C318">
        <v>-0.11350148367952501</v>
      </c>
      <c r="D318">
        <v>0.16669595610489499</v>
      </c>
      <c r="E318">
        <v>-0.238989224851618</v>
      </c>
      <c r="F318">
        <v>0.139180171591992</v>
      </c>
      <c r="G318">
        <v>-0.30046187078155001</v>
      </c>
      <c r="H318">
        <v>-0.30517196267116298</v>
      </c>
      <c r="I318">
        <v>-0.51403009353395601</v>
      </c>
    </row>
    <row r="319" spans="1:9">
      <c r="A319" s="1" t="s">
        <v>331</v>
      </c>
      <c r="B319" t="str">
        <f>HYPERLINK("https://www.suredividend.com/sure-analysis-TEL/","TE Connectivity Ltd")</f>
        <v>TE Connectivity Ltd</v>
      </c>
      <c r="C319">
        <v>-2.1350578204199E-2</v>
      </c>
      <c r="D319">
        <v>4.1750664866542997E-2</v>
      </c>
      <c r="E319">
        <v>6.2373747448486998E-2</v>
      </c>
      <c r="F319">
        <v>0.14138854360116401</v>
      </c>
      <c r="G319">
        <v>-4.9493247107810006E-3</v>
      </c>
      <c r="H319">
        <v>5.2499969751111007E-2</v>
      </c>
      <c r="I319">
        <v>0.40986603679395911</v>
      </c>
    </row>
    <row r="320" spans="1:9">
      <c r="A320" s="1" t="s">
        <v>332</v>
      </c>
      <c r="B320" t="str">
        <f>HYPERLINK("https://www.suredividend.com/sure-analysis-TFC/","Truist Financial Corporation")</f>
        <v>Truist Financial Corporation</v>
      </c>
      <c r="C320">
        <v>-6.7012098173571011E-2</v>
      </c>
      <c r="D320">
        <v>3.7136391061427E-2</v>
      </c>
      <c r="E320">
        <v>1.7122142643461E-2</v>
      </c>
      <c r="F320">
        <v>8.6062974741519013E-2</v>
      </c>
      <c r="G320">
        <v>-0.18133355523254199</v>
      </c>
      <c r="H320">
        <v>-0.13268397172219601</v>
      </c>
      <c r="I320">
        <v>-9.8500164742076013E-2</v>
      </c>
    </row>
    <row r="321" spans="1:9">
      <c r="A321" s="1" t="s">
        <v>333</v>
      </c>
      <c r="B321" t="str">
        <f>HYPERLINK("https://www.suredividend.com/sure-analysis-TGT/","Target Corp")</f>
        <v>Target Corp</v>
      </c>
      <c r="C321">
        <v>-5.4985067625496008E-2</v>
      </c>
      <c r="D321">
        <v>1.7549043105461001E-2</v>
      </c>
      <c r="E321">
        <v>2.7907057386936E-2</v>
      </c>
      <c r="F321">
        <v>0.12077876569849801</v>
      </c>
      <c r="G321">
        <v>-0.23714532427527599</v>
      </c>
      <c r="H321">
        <v>2.1293351134188999E-2</v>
      </c>
      <c r="I321">
        <v>1.45427072675983</v>
      </c>
    </row>
    <row r="322" spans="1:9">
      <c r="A322" s="1" t="s">
        <v>334</v>
      </c>
      <c r="B322" t="str">
        <f>HYPERLINK("https://www.suredividend.com/sure-analysis-THFF/","First Financial Corp. - Indiana")</f>
        <v>First Financial Corp. - Indiana</v>
      </c>
      <c r="C322">
        <v>-3.7257495590828013E-2</v>
      </c>
      <c r="D322">
        <v>-8.4693612347728001E-2</v>
      </c>
      <c r="E322">
        <v>-4.7733269369153002E-2</v>
      </c>
      <c r="F322">
        <v>-4.8146315626572997E-2</v>
      </c>
      <c r="G322">
        <v>-4.4913348905160001E-2</v>
      </c>
      <c r="H322">
        <v>4.1465444667825001E-2</v>
      </c>
      <c r="I322">
        <v>0.123968558736172</v>
      </c>
    </row>
    <row r="323" spans="1:9">
      <c r="A323" s="1" t="s">
        <v>335</v>
      </c>
      <c r="B323" t="str">
        <f>HYPERLINK("https://www.suredividend.com/sure-analysis-THG/","Hanover Insurance Group Inc")</f>
        <v>Hanover Insurance Group Inc</v>
      </c>
      <c r="C323">
        <v>-3.5603932584269013E-2</v>
      </c>
      <c r="D323">
        <v>-5.3788600677843003E-2</v>
      </c>
      <c r="E323">
        <v>7.7268712376392004E-2</v>
      </c>
      <c r="F323">
        <v>1.6280618663509001E-2</v>
      </c>
      <c r="G323">
        <v>-2.0823455174846999E-2</v>
      </c>
      <c r="H323">
        <v>0.19400675209818399</v>
      </c>
      <c r="I323">
        <v>0.47723055574977502</v>
      </c>
    </row>
    <row r="324" spans="1:9">
      <c r="A324" s="1" t="s">
        <v>336</v>
      </c>
      <c r="B324" t="str">
        <f>HYPERLINK("https://www.suredividend.com/sure-analysis-THO/","Thor Industries, Inc.")</f>
        <v>Thor Industries, Inc.</v>
      </c>
      <c r="C324">
        <v>-0.10098642445551299</v>
      </c>
      <c r="D324">
        <v>2.3991776917745001E-2</v>
      </c>
      <c r="E324">
        <v>0.19590961235898799</v>
      </c>
      <c r="F324">
        <v>0.21936680355013899</v>
      </c>
      <c r="G324">
        <v>7.3264122080441002E-2</v>
      </c>
      <c r="H324">
        <v>-0.196830249789718</v>
      </c>
      <c r="I324">
        <v>-0.15108164464213</v>
      </c>
    </row>
    <row r="325" spans="1:9">
      <c r="A325" s="1" t="s">
        <v>337</v>
      </c>
      <c r="B325" t="str">
        <f>HYPERLINK("https://www.suredividend.com/sure-analysis-TMP/","Tompkins Financial Corp")</f>
        <v>Tompkins Financial Corp</v>
      </c>
      <c r="C325">
        <v>-4.2506742005906997E-2</v>
      </c>
      <c r="D325">
        <v>-9.7916472582395012E-2</v>
      </c>
      <c r="E325">
        <v>5.4429849868195997E-2</v>
      </c>
      <c r="F325">
        <v>-3.1522286937499998E-2</v>
      </c>
      <c r="G325">
        <v>-3.3802652636762E-2</v>
      </c>
      <c r="H325">
        <v>-2.3512447727924001E-2</v>
      </c>
      <c r="I325">
        <v>8.3651626930835013E-2</v>
      </c>
    </row>
    <row r="326" spans="1:9">
      <c r="A326" s="1" t="s">
        <v>338</v>
      </c>
      <c r="B326" t="str">
        <f>HYPERLINK("https://www.suredividend.com/sure-analysis-TNC/","Tennant Co.")</f>
        <v>Tennant Co.</v>
      </c>
      <c r="C326">
        <v>2.6162600748313999E-2</v>
      </c>
      <c r="D326">
        <v>0.12678516836266701</v>
      </c>
      <c r="E326">
        <v>0.218705715635332</v>
      </c>
      <c r="F326">
        <v>0.17766159835283801</v>
      </c>
      <c r="G326">
        <v>-7.5371790392007004E-2</v>
      </c>
      <c r="H326">
        <v>-3.0162431682434002E-2</v>
      </c>
      <c r="I326">
        <v>0.180324654635764</v>
      </c>
    </row>
    <row r="327" spans="1:9">
      <c r="A327" s="1" t="s">
        <v>339</v>
      </c>
      <c r="B327" t="str">
        <f>HYPERLINK("https://www.suredividend.com/sure-analysis-research-database/","Townebank Portsmouth VA")</f>
        <v>Townebank Portsmouth VA</v>
      </c>
      <c r="C327">
        <v>-3.7531806615776001E-2</v>
      </c>
      <c r="D327">
        <v>-6.8817065327437005E-2</v>
      </c>
      <c r="E327">
        <v>9.4406087588653001E-2</v>
      </c>
      <c r="F327">
        <v>-1.8806744487677999E-2</v>
      </c>
      <c r="G327">
        <v>2.7005981079239998E-3</v>
      </c>
      <c r="H327">
        <v>5.7117903930130998E-2</v>
      </c>
      <c r="I327">
        <v>0.19899990886649699</v>
      </c>
    </row>
    <row r="328" spans="1:9">
      <c r="A328" s="1" t="s">
        <v>340</v>
      </c>
      <c r="B328" t="str">
        <f>HYPERLINK("https://www.suredividend.com/sure-analysis-TR/","Tootsie Roll Industries, Inc.")</f>
        <v>Tootsie Roll Industries, Inc.</v>
      </c>
      <c r="C328">
        <v>-6.1144400742637002E-2</v>
      </c>
      <c r="D328">
        <v>-4.1626809299902E-2</v>
      </c>
      <c r="E328">
        <v>0.25350970970735698</v>
      </c>
      <c r="F328">
        <v>3.4792096011637012E-2</v>
      </c>
      <c r="G328">
        <v>0.28393338467462398</v>
      </c>
      <c r="H328">
        <v>0.43890713182789698</v>
      </c>
      <c r="I328">
        <v>0.49621039494625802</v>
      </c>
    </row>
    <row r="329" spans="1:9">
      <c r="A329" s="1" t="s">
        <v>341</v>
      </c>
      <c r="B329" t="str">
        <f>HYPERLINK("https://www.suredividend.com/sure-analysis-TRN/","Trinity Industries, Inc.")</f>
        <v>Trinity Industries, Inc.</v>
      </c>
      <c r="C329">
        <v>-2.3660403618649E-2</v>
      </c>
      <c r="D329">
        <v>-0.103055875207773</v>
      </c>
      <c r="E329">
        <v>0.217781519753145</v>
      </c>
      <c r="F329">
        <v>-4.2085427135678012E-2</v>
      </c>
      <c r="G329">
        <v>-4.1293399752634997E-2</v>
      </c>
      <c r="H329">
        <v>3.4592099344438E-2</v>
      </c>
      <c r="I329">
        <v>0.39355864021255899</v>
      </c>
    </row>
    <row r="330" spans="1:9">
      <c r="A330" s="1" t="s">
        <v>342</v>
      </c>
      <c r="B330" t="str">
        <f>HYPERLINK("https://www.suredividend.com/sure-analysis-research-database/","Terreno Realty Corp")</f>
        <v>Terreno Realty Corp</v>
      </c>
      <c r="C330">
        <v>-2.1446078431372001E-2</v>
      </c>
      <c r="D330">
        <v>9.4958699076621009E-2</v>
      </c>
      <c r="E330">
        <v>7.7999726618729004E-2</v>
      </c>
      <c r="F330">
        <v>0.123263583611746</v>
      </c>
      <c r="G330">
        <v>-6.6405353700545011E-2</v>
      </c>
      <c r="H330">
        <v>0.22873800451255299</v>
      </c>
      <c r="I330">
        <v>1.110082348705312</v>
      </c>
    </row>
    <row r="331" spans="1:9">
      <c r="A331" s="1" t="s">
        <v>343</v>
      </c>
      <c r="B331" t="str">
        <f>HYPERLINK("https://www.suredividend.com/sure-analysis-TROW/","T. Rowe Price Group Inc.")</f>
        <v>T. Rowe Price Group Inc.</v>
      </c>
      <c r="C331">
        <v>-9.7997138769670006E-2</v>
      </c>
      <c r="D331">
        <v>-9.0149661521884E-2</v>
      </c>
      <c r="E331">
        <v>-2.1068294050417002E-2</v>
      </c>
      <c r="F331">
        <v>4.0619842288647998E-2</v>
      </c>
      <c r="G331">
        <v>-0.14818017239049899</v>
      </c>
      <c r="H331">
        <v>-0.24929652555725601</v>
      </c>
      <c r="I331">
        <v>0.20914900372258899</v>
      </c>
    </row>
    <row r="332" spans="1:9">
      <c r="A332" s="1" t="s">
        <v>344</v>
      </c>
      <c r="B332" t="str">
        <f>HYPERLINK("https://www.suredividend.com/sure-analysis-TRV/","Travelers Companies Inc.")</f>
        <v>Travelers Companies Inc.</v>
      </c>
      <c r="C332">
        <v>4.5414751586780001E-3</v>
      </c>
      <c r="D332">
        <v>-2.6577576343062001E-2</v>
      </c>
      <c r="E332">
        <v>0.140470649917317</v>
      </c>
      <c r="F332">
        <v>-2.0801109392500999E-2</v>
      </c>
      <c r="G332">
        <v>8.1430369703220012E-2</v>
      </c>
      <c r="H332">
        <v>0.28682835606433299</v>
      </c>
      <c r="I332">
        <v>0.49622663037277298</v>
      </c>
    </row>
    <row r="333" spans="1:9">
      <c r="A333" s="1" t="s">
        <v>345</v>
      </c>
      <c r="B333" t="str">
        <f>HYPERLINK("https://www.suredividend.com/sure-analysis-TSCO/","Tractor Supply Co.")</f>
        <v>Tractor Supply Co.</v>
      </c>
      <c r="C333">
        <v>1.1471784613111999E-2</v>
      </c>
      <c r="D333">
        <v>2.7749596330536998E-2</v>
      </c>
      <c r="E333">
        <v>0.23761231589871501</v>
      </c>
      <c r="F333">
        <v>2.7612395105714001E-2</v>
      </c>
      <c r="G333">
        <v>5.6374875388520998E-2</v>
      </c>
      <c r="H333">
        <v>0.56407573018742208</v>
      </c>
      <c r="I333">
        <v>2.8336550809754688</v>
      </c>
    </row>
    <row r="334" spans="1:9">
      <c r="A334" s="1" t="s">
        <v>346</v>
      </c>
      <c r="B334" t="str">
        <f>HYPERLINK("https://www.suredividend.com/sure-analysis-TSN/","Tyson Foods, Inc.")</f>
        <v>Tyson Foods, Inc.</v>
      </c>
      <c r="C334">
        <v>-6.7555398827478005E-2</v>
      </c>
      <c r="D334">
        <v>-9.5661680056920009E-2</v>
      </c>
      <c r="E334">
        <v>-0.19406632522546499</v>
      </c>
      <c r="F334">
        <v>-4.0893589872302002E-2</v>
      </c>
      <c r="G334">
        <v>-0.35299438089328911</v>
      </c>
      <c r="H334">
        <v>-0.14336210487341999</v>
      </c>
      <c r="I334">
        <v>-0.101122572401139</v>
      </c>
    </row>
    <row r="335" spans="1:9">
      <c r="A335" s="1" t="s">
        <v>347</v>
      </c>
      <c r="B335" t="str">
        <f>HYPERLINK("https://www.suredividend.com/sure-analysis-TT/","Trane Technologies plc")</f>
        <v>Trane Technologies plc</v>
      </c>
      <c r="C335">
        <v>4.6147776794501001E-2</v>
      </c>
      <c r="D335">
        <v>8.8750771929962002E-2</v>
      </c>
      <c r="E335">
        <v>0.25864993567664002</v>
      </c>
      <c r="F335">
        <v>0.15948175448447199</v>
      </c>
      <c r="G335">
        <v>0.30498153220200402</v>
      </c>
      <c r="H335">
        <v>0.30494556284222801</v>
      </c>
      <c r="I335">
        <v>1.321399847998598</v>
      </c>
    </row>
    <row r="336" spans="1:9">
      <c r="A336" s="1" t="s">
        <v>348</v>
      </c>
      <c r="B336" t="str">
        <f>HYPERLINK("https://www.suredividend.com/sure-analysis-TTC/","Toro Co.")</f>
        <v>Toro Co.</v>
      </c>
      <c r="C336">
        <v>1.2314187703400001E-3</v>
      </c>
      <c r="D336">
        <v>1.8860966606637001E-2</v>
      </c>
      <c r="E336">
        <v>0.38576929491697898</v>
      </c>
      <c r="F336">
        <v>5.5653710247340008E-3</v>
      </c>
      <c r="G336">
        <v>0.273449972087694</v>
      </c>
      <c r="H336">
        <v>0.202364378832978</v>
      </c>
      <c r="I336">
        <v>0.97322802978823708</v>
      </c>
    </row>
    <row r="337" spans="1:9">
      <c r="A337" s="1" t="s">
        <v>349</v>
      </c>
      <c r="B337" t="str">
        <f>HYPERLINK("https://www.suredividend.com/sure-analysis-TXN/","Texas Instruments Inc.")</f>
        <v>Texas Instruments Inc.</v>
      </c>
      <c r="C337">
        <v>-3.6260902956825998E-2</v>
      </c>
      <c r="D337">
        <v>-4.0980051915240007E-3</v>
      </c>
      <c r="E337">
        <v>9.4126791159296008E-2</v>
      </c>
      <c r="F337">
        <v>7.088714539207E-2</v>
      </c>
      <c r="G337">
        <v>6.3289576336480011E-2</v>
      </c>
      <c r="H337">
        <v>0.13379679945065501</v>
      </c>
      <c r="I337">
        <v>0.85797805284576911</v>
      </c>
    </row>
    <row r="338" spans="1:9">
      <c r="A338" s="1" t="s">
        <v>350</v>
      </c>
      <c r="B338" t="str">
        <f>HYPERLINK("https://www.suredividend.com/sure-analysis-UBSI/","United Bankshares, Inc.")</f>
        <v>United Bankshares, Inc.</v>
      </c>
      <c r="C338">
        <v>-5.3427895981087013E-2</v>
      </c>
      <c r="D338">
        <v>-5.9723083281668997E-2</v>
      </c>
      <c r="E338">
        <v>0.120338451895957</v>
      </c>
      <c r="F338">
        <v>-1.1113855272906E-2</v>
      </c>
      <c r="G338">
        <v>0.19309411855851299</v>
      </c>
      <c r="H338">
        <v>0.120166066577702</v>
      </c>
      <c r="I338">
        <v>0.35149731320713901</v>
      </c>
    </row>
    <row r="339" spans="1:9">
      <c r="A339" s="1" t="s">
        <v>351</v>
      </c>
      <c r="B339" t="str">
        <f>HYPERLINK("https://www.suredividend.com/sure-analysis-UDR/","UDR Inc")</f>
        <v>UDR Inc</v>
      </c>
      <c r="C339">
        <v>-9.2208390963570003E-3</v>
      </c>
      <c r="D339">
        <v>5.8985857192135012E-2</v>
      </c>
      <c r="E339">
        <v>-3.2720512941695E-2</v>
      </c>
      <c r="F339">
        <v>0.121054594680598</v>
      </c>
      <c r="G339">
        <v>-0.23357163109438001</v>
      </c>
      <c r="H339">
        <v>8.0801070239496009E-2</v>
      </c>
      <c r="I339">
        <v>0.53545515277743005</v>
      </c>
    </row>
    <row r="340" spans="1:9">
      <c r="A340" s="1" t="s">
        <v>352</v>
      </c>
      <c r="B340" t="str">
        <f>HYPERLINK("https://www.suredividend.com/sure-analysis-UGI/","UGI Corp.")</f>
        <v>UGI Corp.</v>
      </c>
      <c r="C340">
        <v>-0.10433539780848</v>
      </c>
      <c r="D340">
        <v>-1.9896619946666999E-2</v>
      </c>
      <c r="E340">
        <v>-1.8784022881121E-2</v>
      </c>
      <c r="F340">
        <v>1.4297275424870999E-2</v>
      </c>
      <c r="G340">
        <v>7.4761680172648004E-2</v>
      </c>
      <c r="H340">
        <v>3.0122875029109E-2</v>
      </c>
      <c r="I340">
        <v>2.1289541017269001E-2</v>
      </c>
    </row>
    <row r="341" spans="1:9">
      <c r="A341" s="1" t="s">
        <v>353</v>
      </c>
      <c r="B341" t="str">
        <f>HYPERLINK("https://www.suredividend.com/sure-analysis-UHT/","Universal Health Realty Income Trust")</f>
        <v>Universal Health Realty Income Trust</v>
      </c>
      <c r="C341">
        <v>-0.11439049947607401</v>
      </c>
      <c r="D341">
        <v>-4.3638811931977002E-2</v>
      </c>
      <c r="E341">
        <v>5.1278596083877998E-2</v>
      </c>
      <c r="F341">
        <v>6.2434527550806002E-2</v>
      </c>
      <c r="G341">
        <v>-0.11537153174527</v>
      </c>
      <c r="H341">
        <v>-0.12898300048265701</v>
      </c>
      <c r="I341">
        <v>9.0936471398145008E-2</v>
      </c>
    </row>
    <row r="342" spans="1:9">
      <c r="A342" s="1" t="s">
        <v>354</v>
      </c>
      <c r="B342" t="str">
        <f>HYPERLINK("https://www.suredividend.com/sure-analysis-UMBF/","UMB Financial Corp.")</f>
        <v>UMB Financial Corp.</v>
      </c>
      <c r="C342">
        <v>-2.5340061430450998E-2</v>
      </c>
      <c r="D342">
        <v>4.7847166449077001E-2</v>
      </c>
      <c r="E342">
        <v>8.492448508429E-3</v>
      </c>
      <c r="F342">
        <v>6.3817049808429005E-2</v>
      </c>
      <c r="G342">
        <v>-0.101770376720637</v>
      </c>
      <c r="H342">
        <v>2.4083540320767999E-2</v>
      </c>
      <c r="I342">
        <v>0.30089371471408111</v>
      </c>
    </row>
    <row r="343" spans="1:9">
      <c r="A343" s="1" t="s">
        <v>355</v>
      </c>
      <c r="B343" t="str">
        <f>HYPERLINK("https://www.suredividend.com/sure-analysis-UNH/","Unitedhealth Group Inc")</f>
        <v>Unitedhealth Group Inc</v>
      </c>
      <c r="C343">
        <v>1.3855345112494999E-2</v>
      </c>
      <c r="D343">
        <v>-0.107430617726051</v>
      </c>
      <c r="E343">
        <v>-6.7412824749572012E-2</v>
      </c>
      <c r="F343">
        <v>-9.7363159681617004E-2</v>
      </c>
      <c r="G343">
        <v>-2.7998067207791001E-2</v>
      </c>
      <c r="H343">
        <v>0.47240532251633099</v>
      </c>
      <c r="I343">
        <v>1.286479831094042</v>
      </c>
    </row>
    <row r="344" spans="1:9">
      <c r="A344" s="1" t="s">
        <v>356</v>
      </c>
      <c r="B344" t="str">
        <f>HYPERLINK("https://www.suredividend.com/sure-analysis-UNM/","Unum Group")</f>
        <v>Unum Group</v>
      </c>
      <c r="C344">
        <v>9.2900120336943004E-2</v>
      </c>
      <c r="D344">
        <v>6.7747032599085003E-2</v>
      </c>
      <c r="E344">
        <v>0.22553517644899701</v>
      </c>
      <c r="F344">
        <v>0.11563161799751299</v>
      </c>
      <c r="G344">
        <v>0.70896746902708108</v>
      </c>
      <c r="H344">
        <v>0.79924242424242409</v>
      </c>
      <c r="I344">
        <v>0.13471384770695799</v>
      </c>
    </row>
    <row r="345" spans="1:9">
      <c r="A345" s="1" t="s">
        <v>357</v>
      </c>
      <c r="B345" t="str">
        <f>HYPERLINK("https://www.suredividend.com/sure-analysis-UNP/","Union Pacific Corp.")</f>
        <v>Union Pacific Corp.</v>
      </c>
      <c r="C345">
        <v>2.2931717102080001E-3</v>
      </c>
      <c r="D345">
        <v>-1.238388340318E-2</v>
      </c>
      <c r="E345">
        <v>-5.3001775395504998E-2</v>
      </c>
      <c r="F345">
        <v>1.7879003863233E-2</v>
      </c>
      <c r="G345">
        <v>-0.18934375797403999</v>
      </c>
      <c r="H345">
        <v>8.7631875884454008E-2</v>
      </c>
      <c r="I345">
        <v>0.80495206565970001</v>
      </c>
    </row>
    <row r="346" spans="1:9">
      <c r="A346" s="1" t="s">
        <v>358</v>
      </c>
      <c r="B346" t="str">
        <f>HYPERLINK("https://www.suredividend.com/sure-analysis-UPS/","United Parcel Service, Inc.")</f>
        <v>United Parcel Service, Inc.</v>
      </c>
      <c r="C346">
        <v>-2.2668428895285E-2</v>
      </c>
      <c r="D346">
        <v>-1.0954183123686E-2</v>
      </c>
      <c r="E346">
        <v>-2.7032748564363999E-2</v>
      </c>
      <c r="F346">
        <v>7.7516419822866001E-2</v>
      </c>
      <c r="G346">
        <v>-7.8719197402075003E-2</v>
      </c>
      <c r="H346">
        <v>0.24291538897668999</v>
      </c>
      <c r="I346">
        <v>1.072772534201081</v>
      </c>
    </row>
    <row r="347" spans="1:9">
      <c r="A347" s="1" t="s">
        <v>359</v>
      </c>
      <c r="B347" t="str">
        <f>HYPERLINK("https://www.suredividend.com/sure-analysis-USB/","U.S. Bancorp.")</f>
        <v>U.S. Bancorp.</v>
      </c>
      <c r="C347">
        <v>-4.4421906693711002E-2</v>
      </c>
      <c r="D347">
        <v>4.3766866217934013E-2</v>
      </c>
      <c r="E347">
        <v>5.8090540746929008E-2</v>
      </c>
      <c r="F347">
        <v>8.025682182985501E-2</v>
      </c>
      <c r="G347">
        <v>-0.111847624649574</v>
      </c>
      <c r="H347">
        <v>-8.2167902097459999E-3</v>
      </c>
      <c r="I347">
        <v>4.8109354003327998E-2</v>
      </c>
    </row>
    <row r="348" spans="1:9">
      <c r="A348" s="1" t="s">
        <v>360</v>
      </c>
      <c r="B348" t="str">
        <f>HYPERLINK("https://www.suredividend.com/sure-analysis-UVV/","Universal Corp.")</f>
        <v>Universal Corp.</v>
      </c>
      <c r="C348">
        <v>-6.834662799129701E-2</v>
      </c>
      <c r="D348">
        <v>-9.1020042132521004E-2</v>
      </c>
      <c r="E348">
        <v>5.4194932725582998E-2</v>
      </c>
      <c r="F348">
        <v>-1.2186683069352E-2</v>
      </c>
      <c r="G348">
        <v>-4.9537252813103012E-2</v>
      </c>
      <c r="H348">
        <v>0.10982494179843801</v>
      </c>
      <c r="I348">
        <v>0.36750089809603598</v>
      </c>
    </row>
    <row r="349" spans="1:9">
      <c r="A349" s="1" t="s">
        <v>361</v>
      </c>
      <c r="B349" t="str">
        <f>HYPERLINK("https://www.suredividend.com/sure-analysis-V/","Visa Inc")</f>
        <v>Visa Inc</v>
      </c>
      <c r="C349">
        <v>-2.5731876640597E-2</v>
      </c>
      <c r="D349">
        <v>3.0085000310723999E-2</v>
      </c>
      <c r="E349">
        <v>0.13891599139438099</v>
      </c>
      <c r="F349">
        <v>7.916947788298101E-2</v>
      </c>
      <c r="G349">
        <v>0.128672839724119</v>
      </c>
      <c r="H349">
        <v>7.5496210025756003E-2</v>
      </c>
      <c r="I349">
        <v>0.91957629837543309</v>
      </c>
    </row>
    <row r="350" spans="1:9">
      <c r="A350" s="1" t="s">
        <v>362</v>
      </c>
      <c r="B350" t="str">
        <f>HYPERLINK("https://www.suredividend.com/sure-analysis-VZ/","Verizon Communications Inc")</f>
        <v>Verizon Communications Inc</v>
      </c>
      <c r="C350">
        <v>-7.8294386894724011E-2</v>
      </c>
      <c r="D350">
        <v>1.783742800516E-2</v>
      </c>
      <c r="E350">
        <v>-4.3210571197787012E-2</v>
      </c>
      <c r="F350">
        <v>-1.367857161271E-2</v>
      </c>
      <c r="G350">
        <v>-0.26510981095689301</v>
      </c>
      <c r="H350">
        <v>-0.22680360286078599</v>
      </c>
      <c r="I350">
        <v>1.0463820324426E-2</v>
      </c>
    </row>
    <row r="351" spans="1:9">
      <c r="A351" s="1" t="s">
        <v>363</v>
      </c>
      <c r="B351" t="str">
        <f>HYPERLINK("https://www.suredividend.com/sure-analysis-WABC/","Westamerica Bancorporation")</f>
        <v>Westamerica Bancorporation</v>
      </c>
      <c r="C351">
        <v>-2.0527340293752999E-2</v>
      </c>
      <c r="D351">
        <v>-9.5990017508558012E-2</v>
      </c>
      <c r="E351">
        <v>1.2036561306377E-2</v>
      </c>
      <c r="F351">
        <v>-5.4933384328797012E-2</v>
      </c>
      <c r="G351">
        <v>-5.1311452650414001E-2</v>
      </c>
      <c r="H351">
        <v>-4.9357822746024002E-2</v>
      </c>
      <c r="I351">
        <v>9.4903506064994009E-2</v>
      </c>
    </row>
    <row r="352" spans="1:9">
      <c r="A352" s="1" t="s">
        <v>364</v>
      </c>
      <c r="B352" t="str">
        <f>HYPERLINK("https://www.suredividend.com/sure-analysis-WAFD/","Washington Federal Inc.")</f>
        <v>Washington Federal Inc.</v>
      </c>
      <c r="C352">
        <v>-4.6572643138644003E-2</v>
      </c>
      <c r="D352">
        <v>-6.4372483647310002E-3</v>
      </c>
      <c r="E352">
        <v>0.107962859927122</v>
      </c>
      <c r="F352">
        <v>3.4133924095470003E-2</v>
      </c>
      <c r="G352">
        <v>1.878166133864E-2</v>
      </c>
      <c r="H352">
        <v>0.17595253862381099</v>
      </c>
      <c r="I352">
        <v>0.13494102918890399</v>
      </c>
    </row>
    <row r="353" spans="1:9">
      <c r="A353" s="1" t="s">
        <v>365</v>
      </c>
      <c r="B353" t="str">
        <f>HYPERLINK("https://www.suredividend.com/sure-analysis-WASH/","Washington Trust Bancorp, Inc.")</f>
        <v>Washington Trust Bancorp, Inc.</v>
      </c>
      <c r="C353">
        <v>-5.1930458342741001E-2</v>
      </c>
      <c r="D353">
        <v>-0.14463056555421699</v>
      </c>
      <c r="E353">
        <v>-0.14868166289902299</v>
      </c>
      <c r="F353">
        <v>-0.110004239084357</v>
      </c>
      <c r="G353">
        <v>-0.17711038165694901</v>
      </c>
      <c r="H353">
        <v>-8.3881862431738008E-2</v>
      </c>
      <c r="I353">
        <v>-3.015324918294E-2</v>
      </c>
    </row>
    <row r="354" spans="1:9">
      <c r="A354" s="1" t="s">
        <v>366</v>
      </c>
      <c r="B354" t="str">
        <f>HYPERLINK("https://www.suredividend.com/sure-analysis-WBA/","Walgreens Boots Alliance Inc")</f>
        <v>Walgreens Boots Alliance Inc</v>
      </c>
      <c r="C354">
        <v>-1.4085276569704999E-2</v>
      </c>
      <c r="D354">
        <v>-0.118427287960877</v>
      </c>
      <c r="E354">
        <v>4.8993733359686001E-2</v>
      </c>
      <c r="F354">
        <v>-2.1208505098719001E-2</v>
      </c>
      <c r="G354">
        <v>-0.206265422731291</v>
      </c>
      <c r="H354">
        <v>-0.160404792369431</v>
      </c>
      <c r="I354">
        <v>-0.38835484570746698</v>
      </c>
    </row>
    <row r="355" spans="1:9">
      <c r="A355" s="1" t="s">
        <v>367</v>
      </c>
      <c r="B355" t="str">
        <f>HYPERLINK("https://www.suredividend.com/sure-analysis-WDFC/","WD-40 Co.")</f>
        <v>WD-40 Co.</v>
      </c>
      <c r="C355">
        <v>-4.6897387854072013E-2</v>
      </c>
      <c r="D355">
        <v>4.5747503519930014E-3</v>
      </c>
      <c r="E355">
        <v>-4.7802044128689998E-2</v>
      </c>
      <c r="F355">
        <v>7.810612379239E-2</v>
      </c>
      <c r="G355">
        <v>-0.15044054778532401</v>
      </c>
      <c r="H355">
        <v>-0.42856010031173902</v>
      </c>
      <c r="I355">
        <v>0.46248033959647511</v>
      </c>
    </row>
    <row r="356" spans="1:9">
      <c r="A356" s="1" t="s">
        <v>368</v>
      </c>
      <c r="B356" t="str">
        <f>HYPERLINK("https://www.suredividend.com/sure-analysis-WEC/","WEC Energy Group Inc")</f>
        <v>WEC Energy Group Inc</v>
      </c>
      <c r="C356">
        <v>-3.4357431104059012E-2</v>
      </c>
      <c r="D356">
        <v>-5.9488728876813002E-2</v>
      </c>
      <c r="E356">
        <v>-0.10893935038804201</v>
      </c>
      <c r="F356">
        <v>-3.6416963965930013E-2</v>
      </c>
      <c r="G356">
        <v>-1.6032984147137001E-2</v>
      </c>
      <c r="H356">
        <v>0.165549990242633</v>
      </c>
      <c r="I356">
        <v>0.76163031915416601</v>
      </c>
    </row>
    <row r="357" spans="1:9">
      <c r="A357" s="1" t="s">
        <v>369</v>
      </c>
      <c r="B357" t="str">
        <f>HYPERLINK("https://www.suredividend.com/sure-analysis-WHR/","Whirlpool Corp.")</f>
        <v>Whirlpool Corp.</v>
      </c>
      <c r="C357">
        <v>-9.3108961579038002E-2</v>
      </c>
      <c r="D357">
        <v>-3.8181571131859E-2</v>
      </c>
      <c r="E357">
        <v>-7.4711972922953007E-2</v>
      </c>
      <c r="F357">
        <v>-6.4970822923170008E-3</v>
      </c>
      <c r="G357">
        <v>-0.28791357239605198</v>
      </c>
      <c r="H357">
        <v>-0.20096708668591301</v>
      </c>
      <c r="I357">
        <v>3.9737704918032003E-2</v>
      </c>
    </row>
    <row r="358" spans="1:9">
      <c r="A358" s="1" t="s">
        <v>370</v>
      </c>
      <c r="B358" t="str">
        <f>HYPERLINK("https://www.suredividend.com/sure-analysis-WLK/","Westlake Corporation")</f>
        <v>Westlake Corporation</v>
      </c>
      <c r="C358">
        <v>-4.0137913870000006E-6</v>
      </c>
      <c r="D358">
        <v>0.15003226589683899</v>
      </c>
      <c r="E358">
        <v>0.30909557122784997</v>
      </c>
      <c r="F358">
        <v>0.21844580425052401</v>
      </c>
      <c r="G358">
        <v>0.12616745966382201</v>
      </c>
      <c r="H358">
        <v>0.49603443389201901</v>
      </c>
      <c r="I358">
        <v>0.215483090373319</v>
      </c>
    </row>
    <row r="359" spans="1:9">
      <c r="A359" s="1" t="s">
        <v>371</v>
      </c>
      <c r="B359" t="str">
        <f>HYPERLINK("https://www.suredividend.com/sure-analysis-WM/","Waste Management, Inc.")</f>
        <v>Waste Management, Inc.</v>
      </c>
      <c r="C359">
        <v>-6.4874884151990006E-3</v>
      </c>
      <c r="D359">
        <v>-0.116188681467522</v>
      </c>
      <c r="E359">
        <v>-0.102228039342128</v>
      </c>
      <c r="F359">
        <v>-4.3345232024477001E-2</v>
      </c>
      <c r="G359">
        <v>-3.3765417712326003E-2</v>
      </c>
      <c r="H359">
        <v>0.341470826942397</v>
      </c>
      <c r="I359">
        <v>0.92137322879806605</v>
      </c>
    </row>
    <row r="360" spans="1:9">
      <c r="A360" s="1" t="s">
        <v>372</v>
      </c>
      <c r="B360" t="str">
        <f>HYPERLINK("https://www.suredividend.com/sure-analysis-WMT/","Walmart Inc")</f>
        <v>Walmart Inc</v>
      </c>
      <c r="C360">
        <v>-1.5119098559406E-2</v>
      </c>
      <c r="D360">
        <v>-7.1783841914235008E-2</v>
      </c>
      <c r="E360">
        <v>1.6056787347627999E-2</v>
      </c>
      <c r="F360">
        <v>-2.6024402285069002E-2</v>
      </c>
      <c r="G360">
        <v>1.1033516383355001E-2</v>
      </c>
      <c r="H360">
        <v>0.114337840443927</v>
      </c>
      <c r="I360">
        <v>0.70165680502537009</v>
      </c>
    </row>
    <row r="361" spans="1:9">
      <c r="A361" s="1" t="s">
        <v>373</v>
      </c>
      <c r="B361" t="str">
        <f>HYPERLINK("https://www.suredividend.com/sure-analysis-WOR/","Worthington Industries, Inc.")</f>
        <v>Worthington Industries, Inc.</v>
      </c>
      <c r="C361">
        <v>1.556420233463E-2</v>
      </c>
      <c r="D361">
        <v>0.10702280848717401</v>
      </c>
      <c r="E361">
        <v>0.28423288407050901</v>
      </c>
      <c r="F361">
        <v>0.26010863005431401</v>
      </c>
      <c r="G361">
        <v>6.9412813149816011E-2</v>
      </c>
      <c r="H361">
        <v>7.8144231372560009E-3</v>
      </c>
      <c r="I361">
        <v>0.57832275490895102</v>
      </c>
    </row>
    <row r="362" spans="1:9">
      <c r="A362" s="1" t="s">
        <v>374</v>
      </c>
      <c r="B362" t="str">
        <f>HYPERLINK("https://www.suredividend.com/sure-analysis-WPC/","W. P. Carey Inc")</f>
        <v>W. P. Carey Inc</v>
      </c>
      <c r="C362">
        <v>-1.6710432084029E-2</v>
      </c>
      <c r="D362">
        <v>1.9432073129833999E-2</v>
      </c>
      <c r="E362">
        <v>1.2469673841706001E-2</v>
      </c>
      <c r="F362">
        <v>5.4126679462571013E-2</v>
      </c>
      <c r="G362">
        <v>7.4678268356477007E-2</v>
      </c>
      <c r="H362">
        <v>0.36710322807623103</v>
      </c>
      <c r="I362">
        <v>0.82581810525382504</v>
      </c>
    </row>
    <row r="363" spans="1:9">
      <c r="A363" s="1" t="s">
        <v>375</v>
      </c>
      <c r="B363" t="str">
        <f>HYPERLINK("https://www.suredividend.com/sure-analysis-WRB/","W.R. Berkley Corp.")</f>
        <v>W.R. Berkley Corp.</v>
      </c>
      <c r="C363">
        <v>-6.6001034691390001E-2</v>
      </c>
      <c r="D363">
        <v>-0.12264565372577001</v>
      </c>
      <c r="E363">
        <v>-4.4233547387531012E-2</v>
      </c>
      <c r="F363">
        <v>-0.11191089927532701</v>
      </c>
      <c r="G363">
        <v>5.9173509889873008E-2</v>
      </c>
      <c r="H363">
        <v>0.31855571625159601</v>
      </c>
      <c r="I363">
        <v>1.127808334110189</v>
      </c>
    </row>
    <row r="364" spans="1:9">
      <c r="A364" s="1" t="s">
        <v>376</v>
      </c>
      <c r="B364" t="str">
        <f>HYPERLINK("https://www.suredividend.com/sure-analysis-WSBC/","Wesbanco, Inc.")</f>
        <v>Wesbanco, Inc.</v>
      </c>
      <c r="C364">
        <v>-7.0426195426195007E-2</v>
      </c>
      <c r="D364">
        <v>-0.100150687653926</v>
      </c>
      <c r="E364">
        <v>5.9352778987084007E-2</v>
      </c>
      <c r="F364">
        <v>-3.2720389399674997E-2</v>
      </c>
      <c r="G364">
        <v>6.0750739886244007E-2</v>
      </c>
      <c r="H364">
        <v>0.140541350602475</v>
      </c>
      <c r="I364">
        <v>2.4095005783258999E-2</v>
      </c>
    </row>
    <row r="365" spans="1:9">
      <c r="A365" s="1" t="s">
        <v>377</v>
      </c>
      <c r="B365" t="str">
        <f>HYPERLINK("https://www.suredividend.com/sure-analysis-WSM/","Williams-Sonoma, Inc.")</f>
        <v>Williams-Sonoma, Inc.</v>
      </c>
      <c r="C365">
        <v>-0.125133461456331</v>
      </c>
      <c r="D365">
        <v>6.2134569883459008E-2</v>
      </c>
      <c r="E365">
        <v>-0.14616482749278401</v>
      </c>
      <c r="F365">
        <v>7.6275356963346003E-2</v>
      </c>
      <c r="G365">
        <v>-0.170613075580759</v>
      </c>
      <c r="H365">
        <v>1.1469243220868E-2</v>
      </c>
      <c r="I365">
        <v>1.6327457797027309</v>
      </c>
    </row>
    <row r="366" spans="1:9">
      <c r="A366" s="1" t="s">
        <v>378</v>
      </c>
      <c r="B366" t="str">
        <f>HYPERLINK("https://www.suredividend.com/sure-analysis-WST/","West Pharmaceutical Services, Inc.")</f>
        <v>West Pharmaceutical Services, Inc.</v>
      </c>
      <c r="C366">
        <v>0.20661096452653099</v>
      </c>
      <c r="D366">
        <v>0.34846351498233602</v>
      </c>
      <c r="E366">
        <v>0.13188374110849299</v>
      </c>
      <c r="F366">
        <v>0.400029849388151</v>
      </c>
      <c r="G366">
        <v>-0.14735045745168401</v>
      </c>
      <c r="H366">
        <v>0.28497022706109898</v>
      </c>
      <c r="I366">
        <v>2.8949731825784939</v>
      </c>
    </row>
    <row r="367" spans="1:9">
      <c r="A367" s="1" t="s">
        <v>379</v>
      </c>
      <c r="B367" t="str">
        <f>HYPERLINK("https://www.suredividend.com/sure-analysis-WTRG/","Essential Utilities Inc")</f>
        <v>Essential Utilities Inc</v>
      </c>
      <c r="C367">
        <v>-9.8668062683441013E-2</v>
      </c>
      <c r="D367">
        <v>-0.125156184922948</v>
      </c>
      <c r="E367">
        <v>-0.12884254881467799</v>
      </c>
      <c r="F367">
        <v>-0.114342756310387</v>
      </c>
      <c r="G367">
        <v>-0.11198013000052801</v>
      </c>
      <c r="H367">
        <v>6.7926859339212012E-2</v>
      </c>
      <c r="I367">
        <v>0.34717385309038601</v>
      </c>
    </row>
    <row r="368" spans="1:9">
      <c r="A368" s="1" t="s">
        <v>380</v>
      </c>
      <c r="B368" t="str">
        <f>HYPERLINK("https://www.suredividend.com/sure-analysis-XEL/","Xcel Energy, Inc.")</f>
        <v>Xcel Energy, Inc.</v>
      </c>
      <c r="C368">
        <v>-5.0847457627118002E-2</v>
      </c>
      <c r="D368">
        <v>-7.1169475513633007E-2</v>
      </c>
      <c r="E368">
        <v>-0.147859592666299</v>
      </c>
      <c r="F368">
        <v>-8.1443446013407E-2</v>
      </c>
      <c r="G368">
        <v>-5.6951904547130998E-2</v>
      </c>
      <c r="H368">
        <v>9.832573544334601E-2</v>
      </c>
      <c r="I368">
        <v>0.71975015555193511</v>
      </c>
    </row>
    <row r="369" spans="1:9">
      <c r="A369" s="1" t="s">
        <v>381</v>
      </c>
      <c r="B369" t="str">
        <f>HYPERLINK("https://www.suredividend.com/sure-analysis-XOM/","Exxon Mobil Corp.")</f>
        <v>Exxon Mobil Corp.</v>
      </c>
      <c r="C369">
        <v>1.5707862214514999E-2</v>
      </c>
      <c r="D369">
        <v>3.4753822883827001E-2</v>
      </c>
      <c r="E369">
        <v>0.19879918174331099</v>
      </c>
      <c r="F369">
        <v>3.0626442908995001E-2</v>
      </c>
      <c r="G369">
        <v>0.39008004574042299</v>
      </c>
      <c r="H369">
        <v>1.1011792009149</v>
      </c>
      <c r="I369">
        <v>0.93712126025355502</v>
      </c>
    </row>
    <row r="370" spans="1:9">
      <c r="A370" s="1" t="s">
        <v>382</v>
      </c>
      <c r="B370" t="str">
        <f>HYPERLINK("https://www.suredividend.com/sure-analysis-XYL/","Xylem Inc")</f>
        <v>Xylem Inc</v>
      </c>
      <c r="C370">
        <v>-1.2636579572446001E-2</v>
      </c>
      <c r="D370">
        <v>-8.4647229807099003E-2</v>
      </c>
      <c r="E370">
        <v>0.14239104027719901</v>
      </c>
      <c r="F370">
        <v>-6.0142895903047007E-2</v>
      </c>
      <c r="G370">
        <v>0.230791095951251</v>
      </c>
      <c r="H370">
        <v>7.5896684101328007E-2</v>
      </c>
      <c r="I370">
        <v>0.49670758896423012</v>
      </c>
    </row>
    <row r="371" spans="1:9">
      <c r="A371" s="1" t="s">
        <v>383</v>
      </c>
      <c r="B371" t="str">
        <f>HYPERLINK("https://www.suredividend.com/sure-analysis-YORW/","York Water Co.")</f>
        <v>York Water Co.</v>
      </c>
      <c r="C371">
        <v>-6.0398908487354012E-2</v>
      </c>
      <c r="D371">
        <v>-4.2975723939713002E-2</v>
      </c>
      <c r="E371">
        <v>9.0564090884790015E-3</v>
      </c>
      <c r="F371">
        <v>-3.0318730793968001E-2</v>
      </c>
      <c r="G371">
        <v>-5.2238219552443003E-2</v>
      </c>
      <c r="H371">
        <v>8.2779516464882005E-2</v>
      </c>
      <c r="I371">
        <v>0.68099760355247207</v>
      </c>
    </row>
  </sheetData>
  <autoFilter ref="A1:I371"/>
  <conditionalFormatting sqref="A1:I1">
    <cfRule type="cellIs" dxfId="9" priority="10" operator="notEqual">
      <formula>-13.345</formula>
    </cfRule>
  </conditionalFormatting>
  <conditionalFormatting sqref="A2:A371">
    <cfRule type="cellIs" dxfId="8" priority="1" operator="notEqual">
      <formula>"None"</formula>
    </cfRule>
  </conditionalFormatting>
  <conditionalFormatting sqref="B2:B371">
    <cfRule type="cellIs" dxfId="7" priority="2" operator="notEqual">
      <formula>"None"</formula>
    </cfRule>
  </conditionalFormatting>
  <conditionalFormatting sqref="C2:C371">
    <cfRule type="cellIs" dxfId="6" priority="3" operator="notEqual">
      <formula>"None"</formula>
    </cfRule>
  </conditionalFormatting>
  <conditionalFormatting sqref="D2:D371">
    <cfRule type="cellIs" dxfId="5" priority="4" operator="notEqual">
      <formula>"None"</formula>
    </cfRule>
  </conditionalFormatting>
  <conditionalFormatting sqref="E2:E371">
    <cfRule type="cellIs" dxfId="4" priority="5" operator="notEqual">
      <formula>"None"</formula>
    </cfRule>
  </conditionalFormatting>
  <conditionalFormatting sqref="F2:F371">
    <cfRule type="cellIs" dxfId="3" priority="6" operator="notEqual">
      <formula>"None"</formula>
    </cfRule>
  </conditionalFormatting>
  <conditionalFormatting sqref="G2:G371">
    <cfRule type="cellIs" dxfId="2" priority="7" operator="notEqual">
      <formula>"None"</formula>
    </cfRule>
  </conditionalFormatting>
  <conditionalFormatting sqref="H2:H371">
    <cfRule type="cellIs" dxfId="1" priority="8" operator="notEqual">
      <formula>"None"</formula>
    </cfRule>
  </conditionalFormatting>
  <conditionalFormatting sqref="I2:I371">
    <cfRule type="cellIs" dxfId="0" priority="9" operator="notEqual">
      <formula>"None"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25.7109375" customWidth="1"/>
    <col min="2" max="2" width="0" hidden="1" customWidth="1"/>
  </cols>
  <sheetData>
    <row r="1" spans="1:2">
      <c r="A1" s="1" t="s">
        <v>403</v>
      </c>
      <c r="B1" s="1"/>
    </row>
    <row r="2" spans="1:2">
      <c r="A2" s="1" t="s">
        <v>404</v>
      </c>
    </row>
    <row r="3" spans="1:2">
      <c r="A3" s="1" t="s">
        <v>405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Characteristics</vt:lpstr>
      <vt:lpstr>Performance</vt:lpstr>
      <vt:lpstr>Notes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JC</cp:lastModifiedBy>
  <dcterms:created xsi:type="dcterms:W3CDTF">2023-03-19T13:07:24Z</dcterms:created>
  <dcterms:modified xsi:type="dcterms:W3CDTF">2023-03-19T19:35:53Z</dcterms:modified>
</cp:coreProperties>
</file>